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GALAXY 66\PTTT\"/>
    </mc:Choice>
  </mc:AlternateContent>
  <bookViews>
    <workbookView xWindow="0" yWindow="0" windowWidth="19200" windowHeight="6930"/>
  </bookViews>
  <sheets>
    <sheet name="1_PHIEU_TU_VAN" sheetId="1" r:id="rId1"/>
    <sheet name="2_VAY_NH" sheetId="7" r:id="rId2"/>
    <sheet name="3_NHANH_70" sheetId="6" r:id="rId3"/>
    <sheet name="4_NHANH_50" sheetId="5" r:id="rId4"/>
    <sheet name="5_CHUAN_24T" sheetId="4" r:id="rId5"/>
    <sheet name="6_36_THANG" sheetId="3" r:id="rId6"/>
    <sheet name="7_48_THANG" sheetId="2" r:id="rId7"/>
    <sheet name="8_THAM_SO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1" l="1"/>
  <c r="H25" i="1" s="1"/>
  <c r="D21" i="1"/>
  <c r="D22" i="1"/>
  <c r="D23" i="1"/>
  <c r="D24" i="1"/>
  <c r="E17" i="8"/>
  <c r="D7" i="8"/>
  <c r="C7" i="8"/>
  <c r="B10" i="2"/>
  <c r="A10" i="2" s="1"/>
  <c r="E9" i="2"/>
  <c r="F9" i="2" s="1"/>
  <c r="B9" i="2"/>
  <c r="D5" i="2"/>
  <c r="B5" i="2"/>
  <c r="D4" i="2"/>
  <c r="B4" i="2"/>
  <c r="G3" i="2"/>
  <c r="G4" i="2" s="1"/>
  <c r="G5" i="2" s="1"/>
  <c r="D3" i="2"/>
  <c r="B3" i="2"/>
  <c r="B11" i="3"/>
  <c r="E10" i="3"/>
  <c r="F10" i="3" s="1"/>
  <c r="B10" i="3"/>
  <c r="D5" i="3"/>
  <c r="B5" i="3"/>
  <c r="D4" i="3"/>
  <c r="B4" i="3"/>
  <c r="G3" i="3"/>
  <c r="G4" i="3" s="1"/>
  <c r="G5" i="3" s="1"/>
  <c r="E47" i="3" s="1"/>
  <c r="D3" i="3"/>
  <c r="B3" i="3"/>
  <c r="B11" i="4"/>
  <c r="C11" i="4" s="1"/>
  <c r="E10" i="4"/>
  <c r="F10" i="4" s="1"/>
  <c r="B10" i="4"/>
  <c r="D5" i="4"/>
  <c r="B5" i="4"/>
  <c r="D4" i="4"/>
  <c r="B4" i="4"/>
  <c r="G3" i="4"/>
  <c r="G4" i="4" s="1"/>
  <c r="G5" i="4" s="1"/>
  <c r="D3" i="4"/>
  <c r="D6" i="4" s="1"/>
  <c r="B3" i="4"/>
  <c r="D18" i="5"/>
  <c r="B11" i="5"/>
  <c r="D11" i="5" s="1"/>
  <c r="A11" i="5"/>
  <c r="E10" i="5"/>
  <c r="F10" i="5" s="1"/>
  <c r="B10" i="5"/>
  <c r="D5" i="5"/>
  <c r="B5" i="5"/>
  <c r="D4" i="5"/>
  <c r="B4" i="5"/>
  <c r="G3" i="5"/>
  <c r="G4" i="5" s="1"/>
  <c r="G5" i="5" s="1"/>
  <c r="D3" i="5"/>
  <c r="B3" i="5"/>
  <c r="B11" i="6"/>
  <c r="C11" i="6" s="1"/>
  <c r="E10" i="6"/>
  <c r="F10" i="6" s="1"/>
  <c r="B10" i="6"/>
  <c r="D5" i="6"/>
  <c r="B5" i="6"/>
  <c r="D4" i="6"/>
  <c r="B4" i="6"/>
  <c r="G3" i="6"/>
  <c r="G4" i="6" s="1"/>
  <c r="G5" i="6" s="1"/>
  <c r="D3" i="6"/>
  <c r="D6" i="6" s="1"/>
  <c r="B3" i="6"/>
  <c r="H15" i="7"/>
  <c r="F15" i="7"/>
  <c r="B11" i="7"/>
  <c r="C11" i="7" s="1"/>
  <c r="G10" i="7"/>
  <c r="I10" i="7" s="1"/>
  <c r="B10" i="7"/>
  <c r="D5" i="7"/>
  <c r="B5" i="7"/>
  <c r="D4" i="7"/>
  <c r="B4" i="7"/>
  <c r="G3" i="7"/>
  <c r="G4" i="7" s="1"/>
  <c r="G5" i="7" s="1"/>
  <c r="D3" i="7"/>
  <c r="D6" i="7" s="1"/>
  <c r="B3" i="7"/>
  <c r="J25" i="1"/>
  <c r="B25" i="1"/>
  <c r="C25" i="1" s="1"/>
  <c r="A25" i="1"/>
  <c r="J24" i="1"/>
  <c r="C24" i="1"/>
  <c r="B24" i="1"/>
  <c r="A24" i="1"/>
  <c r="J23" i="1"/>
  <c r="B23" i="1"/>
  <c r="A23" i="1"/>
  <c r="J22" i="1"/>
  <c r="C22" i="1"/>
  <c r="B22" i="1"/>
  <c r="A22" i="1"/>
  <c r="J21" i="1"/>
  <c r="B21" i="1"/>
  <c r="A21" i="1"/>
  <c r="J20" i="1"/>
  <c r="G20" i="1"/>
  <c r="D20" i="1"/>
  <c r="H20" i="1" s="1"/>
  <c r="C20" i="1"/>
  <c r="B20" i="1"/>
  <c r="A20" i="1"/>
  <c r="I15" i="1"/>
  <c r="B15" i="1"/>
  <c r="D15" i="1" s="1"/>
  <c r="A15" i="1"/>
  <c r="F8" i="1"/>
  <c r="E25" i="1" l="1"/>
  <c r="G25" i="1" s="1"/>
  <c r="E22" i="1"/>
  <c r="I22" i="1" s="1"/>
  <c r="I25" i="1"/>
  <c r="F25" i="1"/>
  <c r="E20" i="1"/>
  <c r="I20" i="1" s="1"/>
  <c r="E11" i="7"/>
  <c r="B12" i="7"/>
  <c r="J12" i="7" s="1"/>
  <c r="D11" i="4"/>
  <c r="D6" i="2"/>
  <c r="C10" i="2"/>
  <c r="D10" i="2"/>
  <c r="G10" i="2" s="1"/>
  <c r="H10" i="2"/>
  <c r="D11" i="6"/>
  <c r="E11" i="6" s="1"/>
  <c r="D11" i="7"/>
  <c r="G11" i="7" s="1"/>
  <c r="H11" i="6"/>
  <c r="D6" i="5"/>
  <c r="E18" i="5"/>
  <c r="E14" i="6"/>
  <c r="G15" i="7"/>
  <c r="I15" i="7"/>
  <c r="E36" i="4"/>
  <c r="G22" i="1"/>
  <c r="D11" i="3"/>
  <c r="A11" i="3"/>
  <c r="C11" i="3"/>
  <c r="H11" i="3"/>
  <c r="H22" i="1"/>
  <c r="H11" i="7"/>
  <c r="C21" i="1"/>
  <c r="H24" i="1"/>
  <c r="E24" i="1"/>
  <c r="E11" i="4"/>
  <c r="E58" i="2"/>
  <c r="K15" i="1"/>
  <c r="F15" i="1"/>
  <c r="E23" i="1"/>
  <c r="I23" i="1" s="1"/>
  <c r="H23" i="1"/>
  <c r="C11" i="5"/>
  <c r="E11" i="5"/>
  <c r="H11" i="4"/>
  <c r="C23" i="1"/>
  <c r="A11" i="7"/>
  <c r="A11" i="6"/>
  <c r="A11" i="4"/>
  <c r="F22" i="1"/>
  <c r="J11" i="7"/>
  <c r="G11" i="5"/>
  <c r="F11" i="5" s="1"/>
  <c r="D6" i="3"/>
  <c r="H11" i="5"/>
  <c r="F20" i="1" l="1"/>
  <c r="F23" i="1"/>
  <c r="G11" i="4"/>
  <c r="F11" i="4" s="1"/>
  <c r="G11" i="6"/>
  <c r="B12" i="6" s="1"/>
  <c r="C12" i="6" s="1"/>
  <c r="C12" i="7"/>
  <c r="D12" i="7"/>
  <c r="G12" i="7" s="1"/>
  <c r="E12" i="7"/>
  <c r="F12" i="7" s="1"/>
  <c r="B13" i="7"/>
  <c r="D13" i="7" s="1"/>
  <c r="G13" i="7" s="1"/>
  <c r="A12" i="7"/>
  <c r="E10" i="2"/>
  <c r="F11" i="7"/>
  <c r="I11" i="7" s="1"/>
  <c r="E11" i="3"/>
  <c r="G11" i="3"/>
  <c r="I24" i="1"/>
  <c r="G24" i="1"/>
  <c r="B12" i="4"/>
  <c r="G23" i="1"/>
  <c r="B12" i="5"/>
  <c r="H21" i="1"/>
  <c r="E21" i="1"/>
  <c r="F24" i="1"/>
  <c r="H12" i="7" l="1"/>
  <c r="B14" i="7"/>
  <c r="E13" i="7"/>
  <c r="H13" i="7" s="1"/>
  <c r="H12" i="6"/>
  <c r="D12" i="6"/>
  <c r="A13" i="7"/>
  <c r="J13" i="7"/>
  <c r="A12" i="6"/>
  <c r="F11" i="6"/>
  <c r="I12" i="7"/>
  <c r="C13" i="7"/>
  <c r="F10" i="2"/>
  <c r="B11" i="2"/>
  <c r="E12" i="6"/>
  <c r="G12" i="6"/>
  <c r="H12" i="5"/>
  <c r="C12" i="5"/>
  <c r="D12" i="5"/>
  <c r="A12" i="5"/>
  <c r="E14" i="7"/>
  <c r="H14" i="7" s="1"/>
  <c r="H16" i="7" s="1"/>
  <c r="D14" i="7"/>
  <c r="G14" i="7" s="1"/>
  <c r="G16" i="7" s="1"/>
  <c r="C14" i="7"/>
  <c r="J14" i="7"/>
  <c r="A14" i="7"/>
  <c r="A15" i="7"/>
  <c r="F11" i="3"/>
  <c r="B12" i="3"/>
  <c r="C12" i="4"/>
  <c r="A12" i="4"/>
  <c r="H12" i="4"/>
  <c r="D12" i="4"/>
  <c r="F13" i="7"/>
  <c r="I13" i="7" s="1"/>
  <c r="I21" i="1"/>
  <c r="F21" i="1"/>
  <c r="G21" i="1"/>
  <c r="G12" i="4" l="1"/>
  <c r="F12" i="4" s="1"/>
  <c r="E16" i="7"/>
  <c r="I16" i="7"/>
  <c r="D16" i="7"/>
  <c r="C11" i="2"/>
  <c r="H11" i="2"/>
  <c r="D11" i="2"/>
  <c r="A11" i="2"/>
  <c r="E12" i="5"/>
  <c r="G12" i="5"/>
  <c r="F12" i="5" s="1"/>
  <c r="F12" i="6"/>
  <c r="B13" i="6"/>
  <c r="A12" i="3"/>
  <c r="H12" i="3"/>
  <c r="D12" i="3"/>
  <c r="C12" i="3"/>
  <c r="E12" i="4"/>
  <c r="F14" i="7"/>
  <c r="I14" i="7" s="1"/>
  <c r="B13" i="5" l="1"/>
  <c r="D13" i="5" s="1"/>
  <c r="F16" i="7"/>
  <c r="G11" i="2"/>
  <c r="E11" i="2"/>
  <c r="E12" i="3"/>
  <c r="G12" i="3"/>
  <c r="B13" i="4"/>
  <c r="C13" i="6"/>
  <c r="A13" i="6"/>
  <c r="H13" i="6"/>
  <c r="D13" i="6"/>
  <c r="D15" i="6" s="1"/>
  <c r="A14" i="6"/>
  <c r="A13" i="5" l="1"/>
  <c r="C13" i="5"/>
  <c r="H13" i="5"/>
  <c r="B12" i="2"/>
  <c r="F11" i="2"/>
  <c r="G13" i="5"/>
  <c r="F13" i="5" s="1"/>
  <c r="B13" i="3"/>
  <c r="F12" i="3"/>
  <c r="E13" i="6"/>
  <c r="E15" i="6" s="1"/>
  <c r="G13" i="6"/>
  <c r="C13" i="4"/>
  <c r="A13" i="4"/>
  <c r="H13" i="4"/>
  <c r="D13" i="4"/>
  <c r="E13" i="5"/>
  <c r="G13" i="4" l="1"/>
  <c r="D12" i="2"/>
  <c r="H12" i="2"/>
  <c r="A12" i="2"/>
  <c r="C12" i="2"/>
  <c r="B14" i="5"/>
  <c r="H14" i="5" s="1"/>
  <c r="H13" i="3"/>
  <c r="D13" i="3"/>
  <c r="C13" i="3"/>
  <c r="A13" i="3"/>
  <c r="F13" i="6"/>
  <c r="G14" i="6"/>
  <c r="E13" i="4"/>
  <c r="E12" i="2" l="1"/>
  <c r="G12" i="2"/>
  <c r="C14" i="5"/>
  <c r="A14" i="5"/>
  <c r="D14" i="5"/>
  <c r="G14" i="5" s="1"/>
  <c r="B15" i="5" s="1"/>
  <c r="F14" i="6"/>
  <c r="B14" i="4"/>
  <c r="F13" i="4"/>
  <c r="E13" i="3"/>
  <c r="G13" i="3"/>
  <c r="B13" i="2" l="1"/>
  <c r="F12" i="2"/>
  <c r="E14" i="5"/>
  <c r="F14" i="5"/>
  <c r="C14" i="4"/>
  <c r="A14" i="4"/>
  <c r="H14" i="4"/>
  <c r="D14" i="4"/>
  <c r="H15" i="5"/>
  <c r="C15" i="5"/>
  <c r="D15" i="5"/>
  <c r="E15" i="5" s="1"/>
  <c r="A15" i="5"/>
  <c r="B14" i="3"/>
  <c r="F13" i="3"/>
  <c r="G14" i="4" l="1"/>
  <c r="A13" i="2"/>
  <c r="D13" i="2"/>
  <c r="H13" i="2"/>
  <c r="C13" i="2"/>
  <c r="G15" i="5"/>
  <c r="F15" i="5" s="1"/>
  <c r="E14" i="4"/>
  <c r="C14" i="3"/>
  <c r="H14" i="3"/>
  <c r="D14" i="3"/>
  <c r="A14" i="3"/>
  <c r="E13" i="2" l="1"/>
  <c r="G13" i="2"/>
  <c r="B16" i="5"/>
  <c r="C16" i="5" s="1"/>
  <c r="B15" i="4"/>
  <c r="F14" i="4"/>
  <c r="E14" i="3"/>
  <c r="G14" i="3"/>
  <c r="H16" i="5" l="1"/>
  <c r="A16" i="5"/>
  <c r="D16" i="5"/>
  <c r="G16" i="5" s="1"/>
  <c r="B17" i="5" s="1"/>
  <c r="B14" i="2"/>
  <c r="F13" i="2"/>
  <c r="E16" i="5"/>
  <c r="C15" i="4"/>
  <c r="A15" i="4"/>
  <c r="H15" i="4"/>
  <c r="D15" i="4"/>
  <c r="F14" i="3"/>
  <c r="B15" i="3"/>
  <c r="G15" i="4" l="1"/>
  <c r="F16" i="5"/>
  <c r="C17" i="5"/>
  <c r="D17" i="5"/>
  <c r="D19" i="5" s="1"/>
  <c r="C14" i="2"/>
  <c r="A14" i="2"/>
  <c r="D14" i="2"/>
  <c r="H14" i="2"/>
  <c r="H17" i="5"/>
  <c r="A17" i="5"/>
  <c r="A18" i="5"/>
  <c r="E15" i="4"/>
  <c r="D15" i="3"/>
  <c r="A15" i="3"/>
  <c r="H15" i="3"/>
  <c r="C15" i="3"/>
  <c r="G14" i="2" l="1"/>
  <c r="E14" i="2"/>
  <c r="E17" i="5"/>
  <c r="E19" i="5" s="1"/>
  <c r="G17" i="5"/>
  <c r="E15" i="3"/>
  <c r="G15" i="3"/>
  <c r="B16" i="4"/>
  <c r="F15" i="4"/>
  <c r="F14" i="2" l="1"/>
  <c r="B15" i="2"/>
  <c r="G18" i="5"/>
  <c r="F18" i="5" s="1"/>
  <c r="F17" i="5"/>
  <c r="C16" i="4"/>
  <c r="A16" i="4"/>
  <c r="H16" i="4"/>
  <c r="D16" i="4"/>
  <c r="G16" i="4" s="1"/>
  <c r="B16" i="3"/>
  <c r="F15" i="3"/>
  <c r="C15" i="2" l="1"/>
  <c r="H15" i="2"/>
  <c r="D15" i="2"/>
  <c r="A15" i="2"/>
  <c r="A16" i="3"/>
  <c r="D16" i="3"/>
  <c r="C16" i="3"/>
  <c r="H16" i="3"/>
  <c r="E16" i="4"/>
  <c r="G15" i="2" l="1"/>
  <c r="E15" i="2"/>
  <c r="B17" i="4"/>
  <c r="F16" i="4"/>
  <c r="E16" i="3"/>
  <c r="G16" i="3"/>
  <c r="B16" i="2" l="1"/>
  <c r="F15" i="2"/>
  <c r="F16" i="3"/>
  <c r="B17" i="3"/>
  <c r="C17" i="4"/>
  <c r="A17" i="4"/>
  <c r="H17" i="4"/>
  <c r="D17" i="4"/>
  <c r="D16" i="2" l="1"/>
  <c r="C16" i="2"/>
  <c r="H16" i="2"/>
  <c r="A16" i="2"/>
  <c r="E17" i="4"/>
  <c r="G17" i="4"/>
  <c r="C17" i="3"/>
  <c r="H17" i="3"/>
  <c r="A17" i="3"/>
  <c r="D17" i="3"/>
  <c r="G16" i="2" l="1"/>
  <c r="E16" i="2"/>
  <c r="E17" i="3"/>
  <c r="G17" i="3"/>
  <c r="B18" i="4"/>
  <c r="F17" i="4"/>
  <c r="F16" i="2" l="1"/>
  <c r="B17" i="2"/>
  <c r="C18" i="4"/>
  <c r="A18" i="4"/>
  <c r="H18" i="4"/>
  <c r="D18" i="4"/>
  <c r="B18" i="3"/>
  <c r="F17" i="3"/>
  <c r="C17" i="2" l="1"/>
  <c r="A17" i="2"/>
  <c r="D17" i="2"/>
  <c r="H17" i="2"/>
  <c r="H18" i="3"/>
  <c r="D18" i="3"/>
  <c r="C18" i="3"/>
  <c r="A18" i="3"/>
  <c r="E18" i="4"/>
  <c r="G18" i="4"/>
  <c r="G17" i="2" l="1"/>
  <c r="E17" i="2"/>
  <c r="E18" i="3"/>
  <c r="G18" i="3"/>
  <c r="B19" i="4"/>
  <c r="F18" i="4"/>
  <c r="B18" i="2" l="1"/>
  <c r="F17" i="2"/>
  <c r="C19" i="4"/>
  <c r="A19" i="4"/>
  <c r="H19" i="4"/>
  <c r="D19" i="4"/>
  <c r="B19" i="3"/>
  <c r="F18" i="3"/>
  <c r="D18" i="2" l="1"/>
  <c r="C18" i="2"/>
  <c r="H18" i="2"/>
  <c r="A18" i="2"/>
  <c r="D19" i="3"/>
  <c r="H19" i="3"/>
  <c r="C19" i="3"/>
  <c r="A19" i="3"/>
  <c r="E19" i="4"/>
  <c r="G19" i="4"/>
  <c r="E18" i="2" l="1"/>
  <c r="G18" i="2"/>
  <c r="B20" i="4"/>
  <c r="F19" i="4"/>
  <c r="E19" i="3"/>
  <c r="G19" i="3"/>
  <c r="B19" i="2" l="1"/>
  <c r="F18" i="2"/>
  <c r="C20" i="4"/>
  <c r="A20" i="4"/>
  <c r="D20" i="4"/>
  <c r="H20" i="4"/>
  <c r="F19" i="3"/>
  <c r="B20" i="3"/>
  <c r="D19" i="2" l="1"/>
  <c r="G19" i="2" s="1"/>
  <c r="C19" i="2"/>
  <c r="A19" i="2"/>
  <c r="H19" i="2"/>
  <c r="A20" i="3"/>
  <c r="H20" i="3"/>
  <c r="D20" i="3"/>
  <c r="C20" i="3"/>
  <c r="G20" i="4"/>
  <c r="E20" i="4"/>
  <c r="E19" i="2" l="1"/>
  <c r="E20" i="3"/>
  <c r="G20" i="3"/>
  <c r="F20" i="4"/>
  <c r="B21" i="4"/>
  <c r="F19" i="2" l="1"/>
  <c r="B20" i="2"/>
  <c r="B21" i="3"/>
  <c r="F20" i="3"/>
  <c r="D21" i="4"/>
  <c r="C21" i="4"/>
  <c r="A21" i="4"/>
  <c r="H21" i="4"/>
  <c r="D20" i="2" l="1"/>
  <c r="G20" i="2" s="1"/>
  <c r="C20" i="2"/>
  <c r="A20" i="2"/>
  <c r="H20" i="2"/>
  <c r="G21" i="4"/>
  <c r="E21" i="4"/>
  <c r="H21" i="3"/>
  <c r="D21" i="3"/>
  <c r="C21" i="3"/>
  <c r="A21" i="3"/>
  <c r="E20" i="2" l="1"/>
  <c r="E21" i="3"/>
  <c r="G21" i="3"/>
  <c r="F21" i="4"/>
  <c r="B22" i="4"/>
  <c r="F20" i="2" l="1"/>
  <c r="B21" i="2"/>
  <c r="F21" i="3"/>
  <c r="B22" i="3"/>
  <c r="D22" i="4"/>
  <c r="C22" i="4"/>
  <c r="H22" i="4"/>
  <c r="A22" i="4"/>
  <c r="A21" i="2" l="1"/>
  <c r="H21" i="2"/>
  <c r="C21" i="2"/>
  <c r="D21" i="2"/>
  <c r="G21" i="2" s="1"/>
  <c r="C22" i="3"/>
  <c r="H22" i="3"/>
  <c r="A22" i="3"/>
  <c r="D22" i="3"/>
  <c r="E22" i="4"/>
  <c r="G22" i="4"/>
  <c r="E21" i="2" l="1"/>
  <c r="F22" i="4"/>
  <c r="B23" i="4"/>
  <c r="E22" i="3"/>
  <c r="G22" i="3"/>
  <c r="B22" i="2" l="1"/>
  <c r="F21" i="2"/>
  <c r="B23" i="3"/>
  <c r="F22" i="3"/>
  <c r="D23" i="4"/>
  <c r="C23" i="4"/>
  <c r="A23" i="4"/>
  <c r="H23" i="4"/>
  <c r="D22" i="2" l="1"/>
  <c r="G22" i="2" s="1"/>
  <c r="A22" i="2"/>
  <c r="H22" i="2"/>
  <c r="C22" i="2"/>
  <c r="G23" i="4"/>
  <c r="E23" i="4"/>
  <c r="D23" i="3"/>
  <c r="A23" i="3"/>
  <c r="C23" i="3"/>
  <c r="H23" i="3"/>
  <c r="E22" i="2" l="1"/>
  <c r="E23" i="3"/>
  <c r="G23" i="3"/>
  <c r="B24" i="4"/>
  <c r="F23" i="4"/>
  <c r="B23" i="2" l="1"/>
  <c r="F22" i="2"/>
  <c r="B24" i="3"/>
  <c r="F23" i="3"/>
  <c r="H24" i="4"/>
  <c r="C24" i="4"/>
  <c r="A24" i="4"/>
  <c r="D24" i="4"/>
  <c r="A23" i="2" l="1"/>
  <c r="C23" i="2"/>
  <c r="D23" i="2"/>
  <c r="G23" i="2" s="1"/>
  <c r="H23" i="2"/>
  <c r="G24" i="4"/>
  <c r="E24" i="4"/>
  <c r="A24" i="3"/>
  <c r="H24" i="3"/>
  <c r="D24" i="3"/>
  <c r="C24" i="3"/>
  <c r="E23" i="2" l="1"/>
  <c r="E24" i="3"/>
  <c r="G24" i="3"/>
  <c r="B25" i="4"/>
  <c r="F24" i="4"/>
  <c r="F23" i="2" l="1"/>
  <c r="B24" i="2"/>
  <c r="A25" i="4"/>
  <c r="H25" i="4"/>
  <c r="D25" i="4"/>
  <c r="C25" i="4"/>
  <c r="F24" i="3"/>
  <c r="B25" i="3"/>
  <c r="D24" i="2" l="1"/>
  <c r="G24" i="2" s="1"/>
  <c r="A24" i="2"/>
  <c r="C24" i="2"/>
  <c r="H24" i="2"/>
  <c r="E25" i="4"/>
  <c r="G25" i="4"/>
  <c r="C25" i="3"/>
  <c r="D25" i="3"/>
  <c r="A25" i="3"/>
  <c r="H25" i="3"/>
  <c r="E24" i="2" l="1"/>
  <c r="E25" i="3"/>
  <c r="G25" i="3"/>
  <c r="B26" i="4"/>
  <c r="F25" i="4"/>
  <c r="B25" i="2" l="1"/>
  <c r="F24" i="2"/>
  <c r="F25" i="3"/>
  <c r="B26" i="3"/>
  <c r="D26" i="4"/>
  <c r="C26" i="4"/>
  <c r="A26" i="4"/>
  <c r="H26" i="4"/>
  <c r="H25" i="2" l="1"/>
  <c r="C25" i="2"/>
  <c r="D25" i="2"/>
  <c r="G25" i="2" s="1"/>
  <c r="A25" i="2"/>
  <c r="G26" i="4"/>
  <c r="E26" i="4"/>
  <c r="H26" i="3"/>
  <c r="D26" i="3"/>
  <c r="C26" i="3"/>
  <c r="A26" i="3"/>
  <c r="E25" i="2" l="1"/>
  <c r="E26" i="3"/>
  <c r="G26" i="3"/>
  <c r="B27" i="4"/>
  <c r="F26" i="4"/>
  <c r="B26" i="2" l="1"/>
  <c r="F25" i="2"/>
  <c r="D27" i="4"/>
  <c r="C27" i="4"/>
  <c r="H27" i="4"/>
  <c r="A27" i="4"/>
  <c r="B27" i="3"/>
  <c r="F26" i="3"/>
  <c r="H26" i="2" l="1"/>
  <c r="C26" i="2"/>
  <c r="A26" i="2"/>
  <c r="D26" i="2"/>
  <c r="G26" i="2" s="1"/>
  <c r="D27" i="3"/>
  <c r="C27" i="3"/>
  <c r="A27" i="3"/>
  <c r="H27" i="3"/>
  <c r="G27" i="4"/>
  <c r="E27" i="4"/>
  <c r="E26" i="2" l="1"/>
  <c r="B28" i="4"/>
  <c r="F27" i="4"/>
  <c r="E27" i="3"/>
  <c r="G27" i="3"/>
  <c r="B27" i="2" l="1"/>
  <c r="F26" i="2"/>
  <c r="F27" i="3"/>
  <c r="B28" i="3"/>
  <c r="H28" i="4"/>
  <c r="C28" i="4"/>
  <c r="A28" i="4"/>
  <c r="D28" i="4"/>
  <c r="A27" i="2" l="1"/>
  <c r="H27" i="2"/>
  <c r="D27" i="2"/>
  <c r="G27" i="2" s="1"/>
  <c r="C27" i="2"/>
  <c r="G28" i="4"/>
  <c r="E28" i="4"/>
  <c r="A28" i="3"/>
  <c r="C28" i="3"/>
  <c r="H28" i="3"/>
  <c r="D28" i="3"/>
  <c r="E27" i="2" l="1"/>
  <c r="E28" i="3"/>
  <c r="G28" i="3"/>
  <c r="B29" i="4"/>
  <c r="F28" i="4"/>
  <c r="B28" i="2" l="1"/>
  <c r="F27" i="2"/>
  <c r="A29" i="4"/>
  <c r="H29" i="4"/>
  <c r="D29" i="4"/>
  <c r="C29" i="4"/>
  <c r="B29" i="3"/>
  <c r="F28" i="3"/>
  <c r="D28" i="2" l="1"/>
  <c r="G28" i="2" s="1"/>
  <c r="A28" i="2"/>
  <c r="C28" i="2"/>
  <c r="H28" i="2"/>
  <c r="H29" i="3"/>
  <c r="C29" i="3"/>
  <c r="A29" i="3"/>
  <c r="D29" i="3"/>
  <c r="E29" i="4"/>
  <c r="G29" i="4"/>
  <c r="E28" i="2" l="1"/>
  <c r="B30" i="4"/>
  <c r="F29" i="4"/>
  <c r="E29" i="3"/>
  <c r="G29" i="3"/>
  <c r="B29" i="2" l="1"/>
  <c r="F28" i="2"/>
  <c r="B30" i="3"/>
  <c r="F29" i="3"/>
  <c r="D30" i="4"/>
  <c r="C30" i="4"/>
  <c r="A30" i="4"/>
  <c r="H30" i="4"/>
  <c r="C29" i="2" l="1"/>
  <c r="D29" i="2"/>
  <c r="G29" i="2" s="1"/>
  <c r="A29" i="2"/>
  <c r="H29" i="2"/>
  <c r="G30" i="4"/>
  <c r="E30" i="4"/>
  <c r="C30" i="3"/>
  <c r="H30" i="3"/>
  <c r="D30" i="3"/>
  <c r="A30" i="3"/>
  <c r="E29" i="2" l="1"/>
  <c r="E30" i="3"/>
  <c r="G30" i="3"/>
  <c r="B31" i="4"/>
  <c r="F30" i="4"/>
  <c r="B30" i="2" l="1"/>
  <c r="F29" i="2"/>
  <c r="B31" i="3"/>
  <c r="F30" i="3"/>
  <c r="D31" i="4"/>
  <c r="C31" i="4"/>
  <c r="H31" i="4"/>
  <c r="A31" i="4"/>
  <c r="D30" i="2" l="1"/>
  <c r="G30" i="2" s="1"/>
  <c r="A30" i="2"/>
  <c r="H30" i="2"/>
  <c r="C30" i="2"/>
  <c r="G31" i="4"/>
  <c r="E31" i="4"/>
  <c r="D31" i="3"/>
  <c r="A31" i="3"/>
  <c r="H31" i="3"/>
  <c r="C31" i="3"/>
  <c r="E30" i="2" l="1"/>
  <c r="E31" i="3"/>
  <c r="G31" i="3"/>
  <c r="B32" i="4"/>
  <c r="F31" i="4"/>
  <c r="B31" i="2" l="1"/>
  <c r="F30" i="2"/>
  <c r="H32" i="4"/>
  <c r="C32" i="4"/>
  <c r="A32" i="4"/>
  <c r="D32" i="4"/>
  <c r="B32" i="3"/>
  <c r="F31" i="3"/>
  <c r="A31" i="2" l="1"/>
  <c r="H31" i="2"/>
  <c r="D31" i="2"/>
  <c r="G31" i="2" s="1"/>
  <c r="C31" i="2"/>
  <c r="G32" i="4"/>
  <c r="E32" i="4"/>
  <c r="A32" i="3"/>
  <c r="H32" i="3"/>
  <c r="D32" i="3"/>
  <c r="C32" i="3"/>
  <c r="E31" i="2" l="1"/>
  <c r="E32" i="3"/>
  <c r="G32" i="3"/>
  <c r="B33" i="4"/>
  <c r="A33" i="4" s="1"/>
  <c r="F32" i="4"/>
  <c r="B32" i="2" l="1"/>
  <c r="F31" i="2"/>
  <c r="H33" i="4"/>
  <c r="D33" i="4"/>
  <c r="C33" i="4"/>
  <c r="F32" i="3"/>
  <c r="B33" i="3"/>
  <c r="D32" i="2" l="1"/>
  <c r="G32" i="2" s="1"/>
  <c r="C32" i="2"/>
  <c r="A32" i="2"/>
  <c r="H32" i="2"/>
  <c r="E33" i="4"/>
  <c r="G33" i="4"/>
  <c r="B34" i="4" s="1"/>
  <c r="A34" i="4" s="1"/>
  <c r="C33" i="3"/>
  <c r="H33" i="3"/>
  <c r="D33" i="3"/>
  <c r="A33" i="3"/>
  <c r="E32" i="2" l="1"/>
  <c r="E33" i="3"/>
  <c r="G33" i="3"/>
  <c r="F33" i="4"/>
  <c r="F32" i="2" l="1"/>
  <c r="B33" i="2"/>
  <c r="D34" i="4"/>
  <c r="C34" i="4"/>
  <c r="H34" i="4"/>
  <c r="B34" i="3"/>
  <c r="F33" i="3"/>
  <c r="C33" i="2" l="1"/>
  <c r="D33" i="2"/>
  <c r="G33" i="2" s="1"/>
  <c r="H33" i="2"/>
  <c r="A33" i="2"/>
  <c r="H34" i="3"/>
  <c r="D34" i="3"/>
  <c r="C34" i="3"/>
  <c r="A34" i="3"/>
  <c r="G34" i="4"/>
  <c r="B35" i="4" s="1"/>
  <c r="A35" i="4" s="1"/>
  <c r="E34" i="4"/>
  <c r="E33" i="2" l="1"/>
  <c r="F34" i="4"/>
  <c r="E34" i="3"/>
  <c r="G34" i="3"/>
  <c r="B34" i="2" l="1"/>
  <c r="F33" i="2"/>
  <c r="D35" i="4"/>
  <c r="D37" i="4" s="1"/>
  <c r="C35" i="4"/>
  <c r="H35" i="4"/>
  <c r="A36" i="4"/>
  <c r="F34" i="3"/>
  <c r="B35" i="3"/>
  <c r="D34" i="2" l="1"/>
  <c r="G34" i="2" s="1"/>
  <c r="A34" i="2"/>
  <c r="H34" i="2"/>
  <c r="C34" i="2"/>
  <c r="D35" i="3"/>
  <c r="H35" i="3"/>
  <c r="C35" i="3"/>
  <c r="A35" i="3"/>
  <c r="G35" i="4"/>
  <c r="E35" i="4"/>
  <c r="E37" i="4" s="1"/>
  <c r="E34" i="2" l="1"/>
  <c r="F35" i="4"/>
  <c r="G36" i="4"/>
  <c r="F36" i="4" s="1"/>
  <c r="E35" i="3"/>
  <c r="G35" i="3"/>
  <c r="F34" i="2" l="1"/>
  <c r="B35" i="2"/>
  <c r="F35" i="3"/>
  <c r="B36" i="3"/>
  <c r="D35" i="2" l="1"/>
  <c r="G35" i="2" s="1"/>
  <c r="H35" i="2"/>
  <c r="A35" i="2"/>
  <c r="C35" i="2"/>
  <c r="A36" i="3"/>
  <c r="D36" i="3"/>
  <c r="C36" i="3"/>
  <c r="H36" i="3"/>
  <c r="E35" i="2" l="1"/>
  <c r="E36" i="3"/>
  <c r="G36" i="3"/>
  <c r="B36" i="2" l="1"/>
  <c r="F35" i="2"/>
  <c r="B37" i="3"/>
  <c r="F36" i="3"/>
  <c r="C36" i="2" l="1"/>
  <c r="A36" i="2"/>
  <c r="H36" i="2"/>
  <c r="D36" i="2"/>
  <c r="G36" i="2" s="1"/>
  <c r="H37" i="3"/>
  <c r="D37" i="3"/>
  <c r="C37" i="3"/>
  <c r="A37" i="3"/>
  <c r="E36" i="2" l="1"/>
  <c r="E37" i="3"/>
  <c r="G37" i="3"/>
  <c r="F36" i="2" l="1"/>
  <c r="B37" i="2"/>
  <c r="B38" i="3"/>
  <c r="F37" i="3"/>
  <c r="C37" i="2" l="1"/>
  <c r="D37" i="2"/>
  <c r="G37" i="2" s="1"/>
  <c r="H37" i="2"/>
  <c r="A37" i="2"/>
  <c r="C38" i="3"/>
  <c r="H38" i="3"/>
  <c r="D38" i="3"/>
  <c r="A38" i="3"/>
  <c r="E37" i="2" l="1"/>
  <c r="E38" i="3"/>
  <c r="G38" i="3"/>
  <c r="F37" i="2" l="1"/>
  <c r="B38" i="2"/>
  <c r="B39" i="3"/>
  <c r="F38" i="3"/>
  <c r="D38" i="2" l="1"/>
  <c r="G38" i="2" s="1"/>
  <c r="C38" i="2"/>
  <c r="A38" i="2"/>
  <c r="H38" i="2"/>
  <c r="D39" i="3"/>
  <c r="A39" i="3"/>
  <c r="C39" i="3"/>
  <c r="H39" i="3"/>
  <c r="E38" i="2" l="1"/>
  <c r="E39" i="3"/>
  <c r="G39" i="3"/>
  <c r="B39" i="2" l="1"/>
  <c r="F38" i="2"/>
  <c r="B40" i="3"/>
  <c r="F39" i="3"/>
  <c r="D39" i="2" l="1"/>
  <c r="G39" i="2" s="1"/>
  <c r="A39" i="2"/>
  <c r="H39" i="2"/>
  <c r="C39" i="2"/>
  <c r="A40" i="3"/>
  <c r="C40" i="3"/>
  <c r="H40" i="3"/>
  <c r="D40" i="3"/>
  <c r="E39" i="2" l="1"/>
  <c r="E40" i="3"/>
  <c r="G40" i="3"/>
  <c r="B40" i="2" l="1"/>
  <c r="F39" i="2"/>
  <c r="F40" i="3"/>
  <c r="B41" i="3"/>
  <c r="C40" i="2" l="1"/>
  <c r="D40" i="2"/>
  <c r="G40" i="2" s="1"/>
  <c r="A40" i="2"/>
  <c r="H40" i="2"/>
  <c r="C41" i="3"/>
  <c r="H41" i="3"/>
  <c r="A41" i="3"/>
  <c r="D41" i="3"/>
  <c r="E40" i="2" l="1"/>
  <c r="E41" i="3"/>
  <c r="G41" i="3"/>
  <c r="F40" i="2" l="1"/>
  <c r="B41" i="2"/>
  <c r="F41" i="3"/>
  <c r="B42" i="3"/>
  <c r="H41" i="2" l="1"/>
  <c r="C41" i="2"/>
  <c r="D41" i="2"/>
  <c r="G41" i="2" s="1"/>
  <c r="A41" i="2"/>
  <c r="H42" i="3"/>
  <c r="D42" i="3"/>
  <c r="C42" i="3"/>
  <c r="A42" i="3"/>
  <c r="E41" i="2" l="1"/>
  <c r="E42" i="3"/>
  <c r="G42" i="3"/>
  <c r="B42" i="2" l="1"/>
  <c r="F41" i="2"/>
  <c r="B43" i="3"/>
  <c r="F42" i="3"/>
  <c r="D42" i="2" l="1"/>
  <c r="G42" i="2" s="1"/>
  <c r="H42" i="2"/>
  <c r="A42" i="2"/>
  <c r="C42" i="2"/>
  <c r="D43" i="3"/>
  <c r="H43" i="3"/>
  <c r="A43" i="3"/>
  <c r="C43" i="3"/>
  <c r="E42" i="2" l="1"/>
  <c r="E43" i="3"/>
  <c r="G43" i="3"/>
  <c r="F42" i="2" l="1"/>
  <c r="B43" i="2"/>
  <c r="F43" i="3"/>
  <c r="B44" i="3"/>
  <c r="H43" i="2" l="1"/>
  <c r="D43" i="2"/>
  <c r="G43" i="2" s="1"/>
  <c r="C43" i="2"/>
  <c r="A43" i="2"/>
  <c r="A44" i="3"/>
  <c r="H44" i="3"/>
  <c r="D44" i="3"/>
  <c r="C44" i="3"/>
  <c r="E43" i="2" l="1"/>
  <c r="E44" i="3"/>
  <c r="G44" i="3"/>
  <c r="F43" i="2" l="1"/>
  <c r="B44" i="2"/>
  <c r="B45" i="3"/>
  <c r="F44" i="3"/>
  <c r="D44" i="2" l="1"/>
  <c r="G44" i="2" s="1"/>
  <c r="C44" i="2"/>
  <c r="A44" i="2"/>
  <c r="H44" i="2"/>
  <c r="H45" i="3"/>
  <c r="D45" i="3"/>
  <c r="C45" i="3"/>
  <c r="A45" i="3"/>
  <c r="E44" i="2" l="1"/>
  <c r="E45" i="3"/>
  <c r="G45" i="3"/>
  <c r="B45" i="2" l="1"/>
  <c r="F44" i="2"/>
  <c r="F45" i="3"/>
  <c r="B46" i="3"/>
  <c r="H45" i="2" l="1"/>
  <c r="A45" i="2"/>
  <c r="D45" i="2"/>
  <c r="G45" i="2" s="1"/>
  <c r="C45" i="2"/>
  <c r="C46" i="3"/>
  <c r="H46" i="3"/>
  <c r="D46" i="3"/>
  <c r="D48" i="3" s="1"/>
  <c r="A46" i="3"/>
  <c r="A47" i="3"/>
  <c r="E45" i="2" l="1"/>
  <c r="E46" i="3"/>
  <c r="E48" i="3" s="1"/>
  <c r="G46" i="3"/>
  <c r="B46" i="2" l="1"/>
  <c r="F45" i="2"/>
  <c r="G47" i="3"/>
  <c r="F47" i="3" s="1"/>
  <c r="F46" i="3"/>
  <c r="A46" i="2" l="1"/>
  <c r="C46" i="2"/>
  <c r="D46" i="2"/>
  <c r="G46" i="2" s="1"/>
  <c r="H46" i="2"/>
  <c r="E46" i="2" l="1"/>
  <c r="B47" i="2" l="1"/>
  <c r="F46" i="2"/>
  <c r="C47" i="2" l="1"/>
  <c r="D47" i="2"/>
  <c r="G47" i="2" s="1"/>
  <c r="A47" i="2"/>
  <c r="H47" i="2"/>
  <c r="E47" i="2" l="1"/>
  <c r="B48" i="2" l="1"/>
  <c r="F47" i="2"/>
  <c r="D48" i="2" l="1"/>
  <c r="G48" i="2" s="1"/>
  <c r="A48" i="2"/>
  <c r="C48" i="2"/>
  <c r="H48" i="2"/>
  <c r="E48" i="2" l="1"/>
  <c r="B49" i="2" l="1"/>
  <c r="F48" i="2"/>
  <c r="D49" i="2" l="1"/>
  <c r="G49" i="2" s="1"/>
  <c r="H49" i="2"/>
  <c r="C49" i="2"/>
  <c r="A49" i="2"/>
  <c r="E49" i="2" l="1"/>
  <c r="B50" i="2" l="1"/>
  <c r="F49" i="2"/>
  <c r="D50" i="2" l="1"/>
  <c r="G50" i="2" s="1"/>
  <c r="A50" i="2"/>
  <c r="C50" i="2"/>
  <c r="H50" i="2"/>
  <c r="E50" i="2" l="1"/>
  <c r="F50" i="2" l="1"/>
  <c r="B51" i="2"/>
  <c r="C51" i="2" l="1"/>
  <c r="A51" i="2"/>
  <c r="D51" i="2"/>
  <c r="G51" i="2" s="1"/>
  <c r="H51" i="2"/>
  <c r="E51" i="2" l="1"/>
  <c r="B52" i="2" l="1"/>
  <c r="F51" i="2"/>
  <c r="C52" i="2" l="1"/>
  <c r="D52" i="2"/>
  <c r="G52" i="2" s="1"/>
  <c r="A52" i="2"/>
  <c r="H52" i="2"/>
  <c r="E52" i="2" l="1"/>
  <c r="B53" i="2" l="1"/>
  <c r="F52" i="2"/>
  <c r="D53" i="2" l="1"/>
  <c r="G53" i="2" s="1"/>
  <c r="H53" i="2"/>
  <c r="C53" i="2"/>
  <c r="A53" i="2"/>
  <c r="E53" i="2" l="1"/>
  <c r="B54" i="2" l="1"/>
  <c r="F53" i="2"/>
  <c r="D54" i="2" l="1"/>
  <c r="G54" i="2" s="1"/>
  <c r="A54" i="2"/>
  <c r="H54" i="2"/>
  <c r="C54" i="2"/>
  <c r="E54" i="2" l="1"/>
  <c r="F54" i="2" l="1"/>
  <c r="B55" i="2"/>
  <c r="D55" i="2" l="1"/>
  <c r="G55" i="2" s="1"/>
  <c r="C55" i="2"/>
  <c r="A55" i="2"/>
  <c r="H55" i="2"/>
  <c r="E55" i="2" l="1"/>
  <c r="B56" i="2" l="1"/>
  <c r="F55" i="2"/>
  <c r="D56" i="2" l="1"/>
  <c r="G56" i="2" s="1"/>
  <c r="C56" i="2"/>
  <c r="A56" i="2"/>
  <c r="H56" i="2"/>
  <c r="A58" i="2"/>
  <c r="B57" i="2" l="1"/>
  <c r="E56" i="2"/>
  <c r="C57" i="2" l="1"/>
  <c r="A57" i="2"/>
  <c r="H57" i="2"/>
  <c r="D57" i="2"/>
  <c r="G57" i="2" s="1"/>
  <c r="G58" i="2" s="1"/>
  <c r="F58" i="2" s="1"/>
  <c r="F56" i="2"/>
  <c r="E57" i="2" l="1"/>
  <c r="E59" i="2" s="1"/>
  <c r="F57" i="2"/>
  <c r="D59" i="2"/>
</calcChain>
</file>

<file path=xl/sharedStrings.xml><?xml version="1.0" encoding="utf-8"?>
<sst xmlns="http://schemas.openxmlformats.org/spreadsheetml/2006/main" count="225" uniqueCount="107">
  <si>
    <t>LEGACY 66 | PHIẾU TƯ VẤN</t>
  </si>
  <si>
    <t>LƯU Ý: THÔNG TIN BÊN DƯỚI LÀ GIẢ ĐỊNH PHỤC VỤ TƯ VẤN. PHIẾU TÍNH GIÁ CHI TIẾT SẼ ĐƯỢC CẬP NHẬT KHI CHỦ ĐẦU TƯ BAN HÀNH BẢNG GIÁ CHÍNH THỨC</t>
  </si>
  <si>
    <t>VUI LÒNG NHẬP TAY VÀO Ô MÀU VÀNG</t>
  </si>
  <si>
    <t>1 | THÔNG TIN KHÁCH QUAN TÂM &amp; GIÁ RUMOR</t>
  </si>
  <si>
    <t>Chọn loại căn</t>
  </si>
  <si>
    <t>2PN</t>
  </si>
  <si>
    <t>Nhập giá rumor (tỷ, chưa VAT)</t>
  </si>
  <si>
    <t>Chọn Early Bird</t>
  </si>
  <si>
    <t>Có</t>
  </si>
  <si>
    <t>Nhập DT thông thủy (m²)</t>
  </si>
  <si>
    <t>Đơn giá tim tường (trđ/m²)</t>
  </si>
  <si>
    <t>Chọn PTTT</t>
  </si>
  <si>
    <t>48 tháng</t>
  </si>
  <si>
    <t>Nhập DT tim tường (m²)</t>
  </si>
  <si>
    <t>Nhập ngày HĐMB dự kiến</t>
  </si>
  <si>
    <t>Nhập mã căn quan tâm</t>
  </si>
  <si>
    <t>Nhập mốc nhận nhà dự kiến</t>
  </si>
  <si>
    <t>Nhập số lượng căn</t>
  </si>
  <si>
    <t>2 | PHƯƠNG ÁN ĐANG TƯ VẤN</t>
  </si>
  <si>
    <t>PTTT</t>
  </si>
  <si>
    <t>GIÁ SAU CK + VAT</t>
  </si>
  <si>
    <t>VỐN KH ĐẾN NHẬN NHÀ</t>
  </si>
  <si>
    <t>VỐN KH SAU NHẬN NHÀ</t>
  </si>
  <si>
    <t>PHÍ BẢO TRÌ</t>
  </si>
  <si>
    <t>GCN 5%</t>
  </si>
  <si>
    <t>3 | SO SÁNH NHANH CÁC PHƯƠNG ÁN THANH TOÁN</t>
  </si>
  <si>
    <t>CK PTTT</t>
  </si>
  <si>
    <t>Tổng CK dự kiến</t>
  </si>
  <si>
    <t>Giá sau CK
chưa VAT</t>
  </si>
  <si>
    <t>Giá sau CK
+ VAT</t>
  </si>
  <si>
    <t>Vốn KH
đến nhận nhà</t>
  </si>
  <si>
    <t>Vốn KH
sau nhận nhà</t>
  </si>
  <si>
    <t>Phí bảo trì</t>
  </si>
  <si>
    <t>Gợi ý</t>
  </si>
  <si>
    <t>4 | THÔNG TIN LIÊN HỆ</t>
  </si>
  <si>
    <t>Chuyên viên tư vấn</t>
  </si>
  <si>
    <t>Số điện thoại</t>
  </si>
  <si>
    <t>Đại lý</t>
  </si>
  <si>
    <t>Email</t>
  </si>
  <si>
    <t>LEGACY 66 | PTTT VAY NGÂN HÀNG</t>
  </si>
  <si>
    <t>Loại căn</t>
  </si>
  <si>
    <t>CK Early Bird</t>
  </si>
  <si>
    <t>Giá rumor chưa VAT</t>
  </si>
  <si>
    <t>DT Tim tường</t>
  </si>
  <si>
    <t>Giá sau CK chưa VAT</t>
  </si>
  <si>
    <t>DT Thông thủy</t>
  </si>
  <si>
    <t>CK sỉ</t>
  </si>
  <si>
    <t>Giá sau CK + VAT</t>
  </si>
  <si>
    <t>Đợt</t>
  </si>
  <si>
    <t>Ngày dự kiến</t>
  </si>
  <si>
    <t>Nội dung</t>
  </si>
  <si>
    <t>KH %</t>
  </si>
  <si>
    <t>NH %</t>
  </si>
  <si>
    <t>Tổng %</t>
  </si>
  <si>
    <t>KH thanh toán</t>
  </si>
  <si>
    <t>NH giải ngân</t>
  </si>
  <si>
    <t>THÀNH TIỀN LŨY KẾ</t>
  </si>
  <si>
    <t>Ghi chú</t>
  </si>
  <si>
    <t>Ký Phiếu đặt cọc</t>
  </si>
  <si>
    <t>Thông báo cấp GCN</t>
  </si>
  <si>
    <t>TỔNG</t>
  </si>
  <si>
    <t>KH 30% | NH 70% | Chưa gồm phí bảo trì 2%</t>
  </si>
  <si>
    <t>LEGACY 66 | PTTT NHANH 70</t>
  </si>
  <si>
    <t>Tỷ lệ</t>
  </si>
  <si>
    <t>Thành tiền</t>
  </si>
  <si>
    <t>Lũy kế %</t>
  </si>
  <si>
    <t>Chưa gồm phí bảo trì 2%</t>
  </si>
  <si>
    <t>LEGACY 66 | PTTT NHANH 50</t>
  </si>
  <si>
    <t>LEGACY 66 | PTTT CHUẨN 24 THÁNG</t>
  </si>
  <si>
    <t>LEGACY 66 | PTTT 36 THÁNG</t>
  </si>
  <si>
    <t>LEGACY 66 | PTTT 48 THÁNG</t>
  </si>
  <si>
    <t>LEGACY 66 | THAM SỐ MÔ PHỎNG BOOKING</t>
  </si>
  <si>
    <t>Lũy kế đến nhận nhà</t>
  </si>
  <si>
    <t>Sau nhận nhà</t>
  </si>
  <si>
    <t>GCN</t>
  </si>
  <si>
    <t>Nhẹ dòng tiền nhất</t>
  </si>
  <si>
    <t>36 tháng</t>
  </si>
  <si>
    <t>Nhẹ dòng tiền</t>
  </si>
  <si>
    <t>Chuẩn 24 tháng</t>
  </si>
  <si>
    <t>Cân bằng dòng tiền</t>
  </si>
  <si>
    <t>Nhanh 50</t>
  </si>
  <si>
    <t>Tối ưu giá, giữ vốn sau nhận nhà</t>
  </si>
  <si>
    <t>Nhanh 70</t>
  </si>
  <si>
    <t>Giá tốt nhất, vốn vào nhanh</t>
  </si>
  <si>
    <t>Vay ngân hàng</t>
  </si>
  <si>
    <t>Giảm vốn tự có nhờ ngân hàng</t>
  </si>
  <si>
    <t>THAM SỐ CHUNG</t>
  </si>
  <si>
    <t>GIÁ TRỊ</t>
  </si>
  <si>
    <t>THAM SỐ VAY</t>
  </si>
  <si>
    <t>GHI CHÚ</t>
  </si>
  <si>
    <t>Đặt cọc dự kiến</t>
  </si>
  <si>
    <t>Tỷ lệ vốn KH</t>
  </si>
  <si>
    <t>Dự kiến</t>
  </si>
  <si>
    <t>VAT</t>
  </si>
  <si>
    <t>Tỷ lệ ngân hàng</t>
  </si>
  <si>
    <t>HTLS</t>
  </si>
  <si>
    <t>tháng</t>
  </si>
  <si>
    <t>Early Bird</t>
  </si>
  <si>
    <t>Ân hạn gốc</t>
  </si>
  <si>
    <t>CK sỉ 2 SP</t>
  </si>
  <si>
    <t>Mốc nhận nhà cố định</t>
  </si>
  <si>
    <t>Theo Sheet 01</t>
  </si>
  <si>
    <t>CK sỉ 3-4 SP</t>
  </si>
  <si>
    <t>CK sỉ từ 5 SP</t>
  </si>
  <si>
    <t>LƯU Ý</t>
  </si>
  <si>
    <t>Giá, chiết khấu và lịch thanh toán là giả định phục vụ Booking/Rumor, không phải báo giá chính thức.</t>
  </si>
  <si>
    <t>Khi Chủ đầu tư ban hành bảng giá/CSBH chính thức, cần cập nhật lại tham số trước khi phát hành phiếu chính thức.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</si>
</sst>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\ &quot;trđ/m²&quot;"/>
    <numFmt numFmtId="166" formatCode="0.00\ &quot;tỷ&quot;"/>
  </numFmts>
  <fonts count="26">
    <font>
      <sz val="11"/>
      <name val="Carlito"/>
    </font>
    <font>
      <b/>
      <sz val="14"/>
      <color rgb="FFECE7D0"/>
      <name val="Calibri"/>
    </font>
    <font>
      <b/>
      <sz val="11"/>
      <color rgb="FFECE7D0"/>
      <name val="Calibri"/>
    </font>
    <font>
      <sz val="10"/>
      <color rgb="FF31401F"/>
      <name val="Calibri"/>
    </font>
    <font>
      <b/>
      <sz val="11"/>
      <color rgb="FF4F5F2D"/>
      <name val="Calibri"/>
    </font>
    <font>
      <i/>
      <sz val="11"/>
      <color rgb="FF6B735C"/>
      <name val="Calibri"/>
    </font>
    <font>
      <b/>
      <sz val="16"/>
      <color rgb="FFECE7D0"/>
      <name val="Calibri"/>
    </font>
    <font>
      <b/>
      <sz val="9"/>
      <color rgb="FF4F5F2D"/>
      <name val="Calibri"/>
    </font>
    <font>
      <b/>
      <sz val="10"/>
      <color rgb="FF4F5F2D"/>
      <name val="Calibri"/>
    </font>
    <font>
      <b/>
      <sz val="10"/>
      <color rgb="FF31401F"/>
      <name val="Calibri"/>
    </font>
    <font>
      <i/>
      <sz val="10"/>
      <color rgb="FF31401F"/>
      <name val="Calibri"/>
    </font>
    <font>
      <b/>
      <sz val="13"/>
      <color rgb="FF31401F"/>
      <name val="Calibri"/>
    </font>
    <font>
      <b/>
      <sz val="11"/>
      <color rgb="FF31401F"/>
      <name val="Calibri"/>
    </font>
    <font>
      <b/>
      <i/>
      <sz val="10"/>
      <color rgb="FF4F5F2D"/>
      <name val="Calibri"/>
    </font>
    <font>
      <b/>
      <sz val="12"/>
      <color rgb="FFECE7D0"/>
      <name val="Calibri"/>
    </font>
    <font>
      <sz val="12"/>
      <name val="Carlito"/>
    </font>
    <font>
      <sz val="10"/>
      <name val="Calibri"/>
    </font>
    <font>
      <b/>
      <sz val="10"/>
      <name val="Calibri"/>
    </font>
    <font>
      <b/>
      <sz val="10"/>
      <color rgb="FFECE7D0"/>
      <name val="Calibri"/>
    </font>
    <font>
      <b/>
      <sz val="12"/>
      <color theme="0"/>
      <name val="Calibri"/>
    </font>
    <font>
      <b/>
      <sz val="16"/>
      <color theme="0"/>
      <name val="Calibri"/>
    </font>
    <font>
      <sz val="11"/>
      <name val="Carlito"/>
    </font>
    <font>
      <i/>
      <sz val="10"/>
      <name val="Calibri"/>
    </font>
    <font>
      <b/>
      <sz val="13"/>
      <color rgb="FF4F5F2D"/>
      <name val="Calibri"/>
    </font>
    <font>
      <sz val="10"/>
      <color rgb="FF31401F"/>
      <name val="Calibri"/>
    </font>
    <font>
      <b/>
      <sz val="10"/>
      <color rgb="FF31401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66773C"/>
      </patternFill>
    </fill>
    <fill>
      <patternFill patternType="solid">
        <fgColor rgb="FF4F5F2D"/>
      </patternFill>
    </fill>
    <fill>
      <patternFill patternType="solid">
        <fgColor rgb="FFE3E8D4"/>
      </patternFill>
    </fill>
    <fill>
      <patternFill patternType="solid">
        <fgColor rgb="FFF7F6EF"/>
      </patternFill>
    </fill>
    <fill>
      <patternFill patternType="solid">
        <fgColor rgb="FFF6E6A8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2" fillId="2" borderId="0" xfId="0" applyNumberFormat="1" applyFont="1" applyFill="1" applyBorder="1"/>
    <xf numFmtId="3" fontId="3" fillId="0" borderId="0" xfId="0" applyNumberFormat="1" applyFont="1" applyFill="1" applyBorder="1"/>
    <xf numFmtId="0" fontId="4" fillId="4" borderId="0" xfId="0" applyNumberFormat="1" applyFont="1" applyFill="1" applyBorder="1"/>
    <xf numFmtId="0" fontId="5" fillId="5" borderId="0" xfId="0" applyNumberFormat="1" applyFont="1" applyFill="1" applyBorder="1" applyAlignment="1">
      <alignment wrapText="1"/>
    </xf>
    <xf numFmtId="0" fontId="8" fillId="4" borderId="0" xfId="0" applyNumberFormat="1" applyFont="1" applyFill="1" applyBorder="1"/>
    <xf numFmtId="0" fontId="11" fillId="7" borderId="0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Border="1"/>
    <xf numFmtId="164" fontId="2" fillId="3" borderId="0" xfId="0" applyNumberFormat="1" applyFont="1" applyFill="1" applyBorder="1"/>
    <xf numFmtId="0" fontId="6" fillId="2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5" borderId="0" xfId="0" applyNumberFormat="1" applyFont="1" applyFill="1" applyBorder="1" applyAlignment="1">
      <alignment vertical="center" wrapText="1"/>
    </xf>
    <xf numFmtId="0" fontId="8" fillId="6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13" fillId="5" borderId="0" xfId="0" applyNumberFormat="1" applyFont="1" applyFill="1" applyBorder="1" applyAlignment="1">
      <alignment vertical="center"/>
    </xf>
    <xf numFmtId="0" fontId="14" fillId="2" borderId="0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4" fillId="3" borderId="0" xfId="0" applyNumberFormat="1" applyFont="1" applyFill="1" applyBorder="1" applyAlignment="1">
      <alignment vertical="center"/>
    </xf>
    <xf numFmtId="0" fontId="9" fillId="6" borderId="0" xfId="0" applyNumberFormat="1" applyFont="1" applyFill="1" applyBorder="1" applyAlignment="1">
      <alignment horizontal="right" vertical="center"/>
    </xf>
    <xf numFmtId="2" fontId="9" fillId="6" borderId="0" xfId="0" applyNumberFormat="1" applyFont="1" applyFill="1" applyBorder="1" applyAlignment="1">
      <alignment horizontal="right" vertical="center"/>
    </xf>
    <xf numFmtId="165" fontId="10" fillId="5" borderId="0" xfId="0" applyNumberFormat="1" applyFont="1" applyFill="1" applyBorder="1" applyAlignment="1">
      <alignment horizontal="right" vertical="center"/>
    </xf>
    <xf numFmtId="14" fontId="9" fillId="6" borderId="0" xfId="0" applyNumberFormat="1" applyFont="1" applyFill="1" applyBorder="1" applyAlignment="1">
      <alignment horizontal="right" vertical="center"/>
    </xf>
    <xf numFmtId="0" fontId="16" fillId="4" borderId="0" xfId="0" applyNumberFormat="1" applyFont="1" applyFill="1" applyBorder="1" applyAlignment="1">
      <alignment vertical="center"/>
    </xf>
    <xf numFmtId="0" fontId="17" fillId="4" borderId="0" xfId="0" applyNumberFormat="1" applyFont="1" applyFill="1" applyBorder="1" applyAlignment="1">
      <alignment vertical="center"/>
    </xf>
    <xf numFmtId="0" fontId="11" fillId="7" borderId="1" xfId="0" applyNumberFormat="1" applyFont="1" applyFill="1" applyBorder="1" applyAlignment="1">
      <alignment horizontal="center" vertical="center"/>
    </xf>
    <xf numFmtId="166" fontId="11" fillId="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4" borderId="2" xfId="0" applyNumberFormat="1" applyFont="1" applyFill="1" applyBorder="1" applyAlignment="1">
      <alignment horizontal="center" vertical="center" wrapText="1"/>
    </xf>
    <xf numFmtId="0" fontId="18" fillId="3" borderId="0" xfId="0" applyNumberFormat="1" applyFont="1" applyFill="1" applyBorder="1" applyAlignment="1">
      <alignment horizontal="center" vertical="center" wrapText="1"/>
    </xf>
    <xf numFmtId="0" fontId="18" fillId="3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0" fontId="19" fillId="2" borderId="0" xfId="0" applyNumberFormat="1" applyFont="1" applyFill="1" applyBorder="1" applyAlignment="1">
      <alignment vertical="center"/>
    </xf>
    <xf numFmtId="0" fontId="19" fillId="3" borderId="0" xfId="0" applyNumberFormat="1" applyFont="1" applyFill="1" applyBorder="1" applyAlignment="1">
      <alignment vertical="center"/>
    </xf>
    <xf numFmtId="0" fontId="20" fillId="2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vertical="center"/>
    </xf>
    <xf numFmtId="14" fontId="3" fillId="5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5" borderId="0" xfId="0" applyNumberFormat="1" applyFont="1" applyFill="1" applyBorder="1" applyAlignment="1"/>
    <xf numFmtId="3" fontId="3" fillId="0" borderId="0" xfId="0" applyNumberFormat="1" applyFont="1" applyFill="1" applyBorder="1"/>
    <xf numFmtId="3" fontId="3" fillId="5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0" fontId="18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6" fontId="8" fillId="4" borderId="0" xfId="0" applyNumberFormat="1" applyFont="1" applyFill="1" applyBorder="1" applyAlignment="1">
      <alignment horizontal="left" vertical="center"/>
    </xf>
    <xf numFmtId="9" fontId="3" fillId="0" borderId="0" xfId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9" fontId="3" fillId="0" borderId="0" xfId="1" applyFont="1" applyFill="1" applyBorder="1"/>
    <xf numFmtId="14" fontId="3" fillId="0" borderId="0" xfId="0" applyNumberFormat="1" applyFont="1" applyFill="1" applyBorder="1"/>
    <xf numFmtId="0" fontId="22" fillId="4" borderId="0" xfId="0" applyNumberFormat="1" applyFont="1" applyFill="1" applyBorder="1" applyAlignment="1">
      <alignment vertical="center"/>
    </xf>
    <xf numFmtId="0" fontId="23" fillId="5" borderId="1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vertical="center"/>
    </xf>
    <xf numFmtId="164" fontId="24" fillId="8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vertical="center" wrapText="1"/>
    </xf>
    <xf numFmtId="14" fontId="24" fillId="8" borderId="0" xfId="0" applyNumberFormat="1" applyFont="1" applyFill="1" applyBorder="1" applyAlignment="1">
      <alignment vertical="center"/>
    </xf>
    <xf numFmtId="3" fontId="24" fillId="8" borderId="0" xfId="0" applyNumberFormat="1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2" fillId="3" borderId="0" xfId="0" applyNumberFormat="1" applyFont="1" applyFill="1" applyBorder="1"/>
    <xf numFmtId="0" fontId="25" fillId="6" borderId="0" xfId="0" applyNumberFormat="1" applyFont="1" applyFill="1" applyBorder="1" applyAlignment="1">
      <alignment horizontal="right" vertical="center"/>
    </xf>
    <xf numFmtId="0" fontId="12" fillId="6" borderId="0" xfId="0" applyNumberFormat="1" applyFont="1" applyFill="1" applyBorder="1" applyAlignment="1">
      <alignment horizontal="center" vertical="center"/>
    </xf>
    <xf numFmtId="0" fontId="18" fillId="3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166" fontId="11" fillId="7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/>
  </cellStyles>
  <dxfs count="9">
    <dxf>
      <font>
        <b/>
        <i val="0"/>
      </font>
      <fill>
        <patternFill>
          <bgColor rgb="FFE3E8D4"/>
        </patternFill>
      </fill>
    </dxf>
    <dxf>
      <font>
        <b/>
        <i val="0"/>
      </font>
      <fill>
        <patternFill>
          <bgColor rgb="FFE3E8D4"/>
        </patternFill>
      </fill>
    </dxf>
    <dxf>
      <font>
        <b/>
        <i val="0"/>
      </font>
      <fill>
        <patternFill>
          <bgColor rgb="FFE3E8D4"/>
        </patternFill>
      </fill>
    </dxf>
    <dxf>
      <font>
        <b/>
        <i val="0"/>
      </font>
      <fill>
        <patternFill>
          <bgColor rgb="FFE3E8D4"/>
        </patternFill>
      </fill>
    </dxf>
    <dxf>
      <font>
        <b/>
        <color rgb="FF4F5F2D"/>
      </font>
      <fill>
        <patternFill>
          <bgColor rgb="FFE3E8D4"/>
        </patternFill>
      </fill>
    </dxf>
    <dxf>
      <font>
        <b/>
        <i val="0"/>
      </font>
      <fill>
        <patternFill>
          <bgColor rgb="FFE3E8D4"/>
        </patternFill>
      </fill>
    </dxf>
    <dxf>
      <font>
        <b/>
        <i val="0"/>
      </font>
      <fill>
        <patternFill>
          <bgColor rgb="FFE3E8E4"/>
        </patternFill>
      </fill>
    </dxf>
    <dxf>
      <font>
        <b/>
        <i val="0"/>
      </font>
      <fill>
        <patternFill>
          <bgColor rgb="FF7CE4AB"/>
        </patternFill>
      </fill>
    </dxf>
    <dxf>
      <font>
        <b/>
        <color rgb="FF4F5F2D"/>
      </font>
      <fill>
        <patternFill>
          <bgColor rgb="FFE3E8D4"/>
        </patternFill>
      </fill>
    </dxf>
  </dxfs>
  <tableStyles count="0" defaultTableStyle="TableStyleMedium2" defaultPivotStyle="PivotStyleLight16"/>
  <colors>
    <mruColors>
      <color rgb="FFE3E8D4"/>
      <color rgb="FFE3E8E4"/>
      <color rgb="FF7CE4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topLeftCell="A10" workbookViewId="0">
      <selection activeCell="Q18" sqref="Q18"/>
    </sheetView>
  </sheetViews>
  <sheetFormatPr defaultColWidth="8.75" defaultRowHeight="14"/>
  <cols>
    <col min="1" max="1" width="23" style="15" customWidth="1"/>
    <col min="2" max="10" width="11.25" style="15" customWidth="1"/>
    <col min="11" max="11" width="14.25" style="15" customWidth="1"/>
    <col min="12" max="16384" width="8.75" style="15"/>
  </cols>
  <sheetData>
    <row r="1" spans="1:11" ht="40.9" customHeight="1">
      <c r="A1" s="40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7.9" customHeight="1"/>
    <row r="3" spans="1:11" ht="21" customHeight="1">
      <c r="A3" s="19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5" spans="1:11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21" customFormat="1" ht="19.149999999999999" customHeight="1">
      <c r="A6" s="39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>
      <c r="A7" s="68" t="s">
        <v>4</v>
      </c>
      <c r="B7" s="23" t="s">
        <v>5</v>
      </c>
      <c r="D7" s="68" t="s">
        <v>6</v>
      </c>
      <c r="E7" s="28"/>
      <c r="F7" s="24">
        <v>8.9</v>
      </c>
      <c r="I7" s="68" t="s">
        <v>7</v>
      </c>
      <c r="J7" s="28"/>
      <c r="K7" s="23" t="s">
        <v>8</v>
      </c>
    </row>
    <row r="8" spans="1:11">
      <c r="A8" s="68" t="s">
        <v>9</v>
      </c>
      <c r="B8" s="24">
        <v>65.760000000000005</v>
      </c>
      <c r="D8" s="27" t="s">
        <v>10</v>
      </c>
      <c r="E8" s="28"/>
      <c r="F8" s="25">
        <f>IFERROR(F7*1000/B9,0)</f>
        <v>119.12729219649312</v>
      </c>
      <c r="I8" s="68" t="s">
        <v>11</v>
      </c>
      <c r="J8" s="28"/>
      <c r="K8" s="79" t="s">
        <v>78</v>
      </c>
    </row>
    <row r="9" spans="1:11">
      <c r="A9" s="68" t="s">
        <v>13</v>
      </c>
      <c r="B9" s="24">
        <v>74.709999999999994</v>
      </c>
      <c r="I9" s="68" t="s">
        <v>14</v>
      </c>
      <c r="J9" s="28"/>
      <c r="K9" s="26">
        <v>46295</v>
      </c>
    </row>
    <row r="10" spans="1:11">
      <c r="A10" s="68" t="s">
        <v>15</v>
      </c>
      <c r="B10" s="23"/>
      <c r="I10" s="68" t="s">
        <v>16</v>
      </c>
      <c r="J10" s="28"/>
      <c r="K10" s="26">
        <v>46568</v>
      </c>
    </row>
    <row r="11" spans="1:11">
      <c r="A11" s="68" t="s">
        <v>17</v>
      </c>
      <c r="B11" s="23">
        <v>1</v>
      </c>
    </row>
    <row r="13" spans="1:11" s="21" customFormat="1" ht="19.149999999999999" customHeight="1">
      <c r="A13" s="39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ht="20.5" customHeight="1">
      <c r="A14" s="32" t="s">
        <v>19</v>
      </c>
      <c r="B14" s="83" t="s">
        <v>20</v>
      </c>
      <c r="C14" s="83"/>
      <c r="D14" s="83" t="s">
        <v>21</v>
      </c>
      <c r="E14" s="83"/>
      <c r="F14" s="83" t="s">
        <v>22</v>
      </c>
      <c r="G14" s="83"/>
      <c r="H14" s="32"/>
      <c r="I14" s="32" t="s">
        <v>23</v>
      </c>
      <c r="J14" s="32"/>
      <c r="K14" s="32" t="s">
        <v>24</v>
      </c>
    </row>
    <row r="15" spans="1:11" ht="23.5" customHeight="1">
      <c r="A15" s="69" t="str">
        <f>$K$8</f>
        <v>Chuẩn 24 tháng</v>
      </c>
      <c r="B15" s="84">
        <f>$F$7*(1-(IF($K$7="Có",'8_THAM_SO'!$B$16,0)))*(1-(INDEX('8_THAM_SO'!$B$4:$B$9,MATCH($K$8,'8_THAM_SO'!$A$4:$A$9,0))))*(1-(IF($B$11&gt;=5,'8_THAM_SO'!$B$19,IF($B$11&gt;=3,'8_THAM_SO'!$B$18,IF($B$11=2,'8_THAM_SO'!$B$17,0)))))*(1+'8_THAM_SO'!$B$14)</f>
        <v>9.3063740000000017</v>
      </c>
      <c r="C15" s="84"/>
      <c r="D15" s="84">
        <f>IF($K$8="Vay ngân hàng",$B$15*'8_THAM_SO'!$E$13,$B$15*INDEX('8_THAM_SO'!$C$4:$C$9,MATCH($K$8,'8_THAM_SO'!$A$4:$A$9,0)))</f>
        <v>4.6531870000000009</v>
      </c>
      <c r="E15" s="84"/>
      <c r="F15" s="84">
        <f>IF($K$8="Vay ngân hàng",0,$B$15*INDEX('8_THAM_SO'!$D$4:$D$9,MATCH($K$8,'8_THAM_SO'!$A$4:$A$9,0)))</f>
        <v>4.1878683000000008</v>
      </c>
      <c r="G15" s="84"/>
      <c r="H15" s="29"/>
      <c r="I15" s="30">
        <f>$F$7*(1-(IF($K$7="Có",'8_THAM_SO'!$B$16,0))-(IF($B$11&gt;=5,'8_THAM_SO'!$B$19,IF($B$11&gt;=3,'8_THAM_SO'!$B$18,IF($B$11=2,'8_THAM_SO'!$B$17,0))))-(INDEX('8_THAM_SO'!$B$4:$B$9,MATCH($K$8,'8_THAM_SO'!$A$4:$A$9,0))))*'8_THAM_SO'!$B$15</f>
        <v>0.1691</v>
      </c>
      <c r="J15" s="31"/>
      <c r="K15" s="30">
        <f>$B$15*0.05</f>
        <v>0.46531870000000009</v>
      </c>
    </row>
    <row r="16" spans="1:11" ht="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8" spans="1:11" s="21" customFormat="1" ht="19.149999999999999" customHeight="1">
      <c r="A18" s="38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26">
      <c r="A19" s="33" t="s">
        <v>19</v>
      </c>
      <c r="B19" s="33" t="s">
        <v>26</v>
      </c>
      <c r="C19" s="33" t="s">
        <v>27</v>
      </c>
      <c r="D19" s="33" t="s">
        <v>28</v>
      </c>
      <c r="E19" s="33" t="s">
        <v>29</v>
      </c>
      <c r="F19" s="33" t="s">
        <v>30</v>
      </c>
      <c r="G19" s="33" t="s">
        <v>31</v>
      </c>
      <c r="H19" s="33" t="s">
        <v>32</v>
      </c>
      <c r="I19" s="33" t="s">
        <v>24</v>
      </c>
      <c r="J19" s="81" t="s">
        <v>33</v>
      </c>
      <c r="K19" s="81"/>
    </row>
    <row r="20" spans="1:11" ht="24" customHeight="1">
      <c r="A20" s="35" t="str">
        <f>'8_THAM_SO'!A9</f>
        <v>Vay ngân hàng</v>
      </c>
      <c r="B20" s="70">
        <f>'8_THAM_SO'!B9</f>
        <v>0</v>
      </c>
      <c r="C20" s="70">
        <f>1-(1-(IF($K$7="Có",'8_THAM_SO'!$B$16,0)))*(1-B20)*(1-(IF($B$11&gt;=5,'8_THAM_SO'!$B$19,IF($B$11&gt;=3,'8_THAM_SO'!$B$18,IF($B$11=2,'8_THAM_SO'!$B$17,0)))))</f>
        <v>3.0000000000000027E-2</v>
      </c>
      <c r="D20" s="37">
        <f>$F$7*(1-(IF($K$7="Có",'8_THAM_SO'!$B$16,0)))*(1-B20)*(1-(IF($B$11&gt;=5,'8_THAM_SO'!$B$19,IF($B$11&gt;=3,'8_THAM_SO'!$B$18,IF($B$11=2,'8_THAM_SO'!$B$17,0)))))</f>
        <v>8.6330000000000009</v>
      </c>
      <c r="E20" s="37">
        <f>D20*(1+'8_THAM_SO'!$B$14)</f>
        <v>9.4963000000000015</v>
      </c>
      <c r="F20" s="37">
        <f>IF(A20="Vay ngân hàng",E20*'8_THAM_SO'!$E$13,E20*'8_THAM_SO'!C9)</f>
        <v>2.8488900000000004</v>
      </c>
      <c r="G20" s="37">
        <f>IF(A20="Vay ngân hàng",0,E20*'8_THAM_SO'!D9)</f>
        <v>0</v>
      </c>
      <c r="H20" s="37">
        <f>D20*'8_THAM_SO'!$B$15</f>
        <v>0.17266000000000001</v>
      </c>
      <c r="I20" s="37">
        <f>E20*'8_THAM_SO'!E9</f>
        <v>0.4748150000000001</v>
      </c>
      <c r="J20" s="82" t="str">
        <f>'8_THAM_SO'!F9</f>
        <v>Giảm vốn tự có nhờ ngân hàng</v>
      </c>
      <c r="K20" s="82"/>
    </row>
    <row r="21" spans="1:11" ht="24" customHeight="1">
      <c r="A21" s="35" t="str">
        <f>'8_THAM_SO'!A7</f>
        <v>Nhanh 50</v>
      </c>
      <c r="B21" s="70">
        <f>'8_THAM_SO'!B7</f>
        <v>0.05</v>
      </c>
      <c r="C21" s="70">
        <f>1-(1-(IF($K$7="Có",'8_THAM_SO'!$B$16,0)))*(1-B21)*(1-(IF($B$11&gt;=5,'8_THAM_SO'!$B$19,IF($B$11&gt;=3,'8_THAM_SO'!$B$18,IF($B$11=2,'8_THAM_SO'!$B$17,0)))))</f>
        <v>7.8500000000000014E-2</v>
      </c>
      <c r="D21" s="37">
        <f>$F$7*(1-(IF($K$7="Có",'8_THAM_SO'!$B$16,0)))*(1-B21)*(1-(IF($B$11&gt;=5,'8_THAM_SO'!$B$19,IF($B$11&gt;=3,'8_THAM_SO'!$B$18,IF($B$11=2,'8_THAM_SO'!$B$17,0)))))</f>
        <v>8.2013499999999997</v>
      </c>
      <c r="E21" s="37">
        <f>D21*(1+'8_THAM_SO'!$B$14)</f>
        <v>9.0214850000000002</v>
      </c>
      <c r="F21" s="37">
        <f>IF(A21="Vay ngân hàng",E21*'8_THAM_SO'!$E$13,E21*'8_THAM_SO'!C7)</f>
        <v>8.5704107500000006</v>
      </c>
      <c r="G21" s="37">
        <f>IF(A21="Vay ngân hàng",0,E21*'8_THAM_SO'!D7)</f>
        <v>0</v>
      </c>
      <c r="H21" s="37">
        <f>D21*'8_THAM_SO'!$B$15</f>
        <v>0.16402700000000001</v>
      </c>
      <c r="I21" s="37">
        <f>E21*'8_THAM_SO'!E7</f>
        <v>0.45107425000000001</v>
      </c>
      <c r="J21" s="82" t="str">
        <f>'8_THAM_SO'!F7</f>
        <v>Tối ưu giá, giữ vốn sau nhận nhà</v>
      </c>
      <c r="K21" s="82"/>
    </row>
    <row r="22" spans="1:11" ht="24" customHeight="1">
      <c r="A22" s="35" t="str">
        <f>'8_THAM_SO'!A8</f>
        <v>Nhanh 70</v>
      </c>
      <c r="B22" s="70">
        <f>'8_THAM_SO'!B8</f>
        <v>0.06</v>
      </c>
      <c r="C22" s="70">
        <f>1-(1-(IF($K$7="Có",'8_THAM_SO'!$B$16,0)))*(1-B22)*(1-(IF($B$11&gt;=5,'8_THAM_SO'!$B$19,IF($B$11&gt;=3,'8_THAM_SO'!$B$18,IF($B$11=2,'8_THAM_SO'!$B$17,0)))))</f>
        <v>8.8200000000000056E-2</v>
      </c>
      <c r="D22" s="37">
        <f>$F$7*(1-(IF($K$7="Có",'8_THAM_SO'!$B$16,0)))*(1-B22)*(1-(IF($B$11&gt;=5,'8_THAM_SO'!$B$19,IF($B$11&gt;=3,'8_THAM_SO'!$B$18,IF($B$11=2,'8_THAM_SO'!$B$17,0)))))</f>
        <v>8.1150200000000012</v>
      </c>
      <c r="E22" s="37">
        <f>D22*(1+'8_THAM_SO'!$B$14)</f>
        <v>8.9265220000000021</v>
      </c>
      <c r="F22" s="37">
        <f>IF(A22="Vay ngân hàng",E22*'8_THAM_SO'!$E$13,E22*'8_THAM_SO'!C8)</f>
        <v>8.4801959000000018</v>
      </c>
      <c r="G22" s="37">
        <f>IF(A22="Vay ngân hàng",0,E22*'8_THAM_SO'!D8)</f>
        <v>0</v>
      </c>
      <c r="H22" s="37">
        <f>D22*'8_THAM_SO'!$B$15</f>
        <v>0.16230040000000004</v>
      </c>
      <c r="I22" s="37">
        <f>E22*'8_THAM_SO'!E8</f>
        <v>0.44632610000000011</v>
      </c>
      <c r="J22" s="82" t="str">
        <f>'8_THAM_SO'!F8</f>
        <v>Giá tốt nhất, vốn vào nhanh</v>
      </c>
      <c r="K22" s="82"/>
    </row>
    <row r="23" spans="1:11" ht="24" customHeight="1">
      <c r="A23" s="35" t="str">
        <f>'8_THAM_SO'!A6</f>
        <v>Chuẩn 24 tháng</v>
      </c>
      <c r="B23" s="70">
        <f>'8_THAM_SO'!B6</f>
        <v>0.02</v>
      </c>
      <c r="C23" s="70">
        <f>1-(1-(IF($K$7="Có",'8_THAM_SO'!$B$16,0)))*(1-B23)*(1-(IF($B$11&gt;=5,'8_THAM_SO'!$B$19,IF($B$11&gt;=3,'8_THAM_SO'!$B$18,IF($B$11=2,'8_THAM_SO'!$B$17,0)))))</f>
        <v>4.9399999999999999E-2</v>
      </c>
      <c r="D23" s="37">
        <f>$F$7*(1-(IF($K$7="Có",'8_THAM_SO'!$B$16,0)))*(1-B23)*(1-(IF($B$11&gt;=5,'8_THAM_SO'!$B$19,IF($B$11&gt;=3,'8_THAM_SO'!$B$18,IF($B$11=2,'8_THAM_SO'!$B$17,0)))))</f>
        <v>8.4603400000000004</v>
      </c>
      <c r="E23" s="37">
        <f>D23*(1+'8_THAM_SO'!$B$14)</f>
        <v>9.3063740000000017</v>
      </c>
      <c r="F23" s="37">
        <f>IF(A23="Vay ngân hàng",E23*'8_THAM_SO'!$E$13,E23*'8_THAM_SO'!C6)</f>
        <v>4.6531870000000009</v>
      </c>
      <c r="G23" s="37">
        <f>IF(A23="Vay ngân hàng",0,E23*'8_THAM_SO'!D6)</f>
        <v>4.1878683000000008</v>
      </c>
      <c r="H23" s="37">
        <f>D23*'8_THAM_SO'!$B$15</f>
        <v>0.16920680000000002</v>
      </c>
      <c r="I23" s="37">
        <f>E23*'8_THAM_SO'!E6</f>
        <v>0.46531870000000009</v>
      </c>
      <c r="J23" s="82" t="str">
        <f>'8_THAM_SO'!F6</f>
        <v>Cân bằng dòng tiền</v>
      </c>
      <c r="K23" s="82"/>
    </row>
    <row r="24" spans="1:11" ht="24" customHeight="1">
      <c r="A24" s="35" t="str">
        <f>'8_THAM_SO'!A5</f>
        <v>36 tháng</v>
      </c>
      <c r="B24" s="70">
        <f>'8_THAM_SO'!B5</f>
        <v>0.01</v>
      </c>
      <c r="C24" s="70">
        <f>1-(1-(IF($K$7="Có",'8_THAM_SO'!$B$16,0)))*(1-B24)*(1-(IF($B$11&gt;=5,'8_THAM_SO'!$B$19,IF($B$11&gt;=3,'8_THAM_SO'!$B$18,IF($B$11=2,'8_THAM_SO'!$B$17,0)))))</f>
        <v>3.9700000000000069E-2</v>
      </c>
      <c r="D24" s="37">
        <f>$F$7*(1-(IF($K$7="Có",'8_THAM_SO'!$B$16,0)))*(1-B24)*(1-(IF($B$11&gt;=5,'8_THAM_SO'!$B$19,IF($B$11&gt;=3,'8_THAM_SO'!$B$18,IF($B$11=2,'8_THAM_SO'!$B$17,0)))))</f>
        <v>8.5466700000000007</v>
      </c>
      <c r="E24" s="37">
        <f>D24*(1+'8_THAM_SO'!$B$14)</f>
        <v>9.4013370000000016</v>
      </c>
      <c r="F24" s="37">
        <f>IF(A24="Vay ngân hàng",E24*'8_THAM_SO'!$E$13,E24*'8_THAM_SO'!C5)</f>
        <v>2.8204011000000002</v>
      </c>
      <c r="G24" s="37">
        <f>IF(A24="Vay ngân hàng",0,E24*'8_THAM_SO'!D5)</f>
        <v>6.1108690500000016</v>
      </c>
      <c r="H24" s="37">
        <f>D24*'8_THAM_SO'!$B$15</f>
        <v>0.17093340000000001</v>
      </c>
      <c r="I24" s="37">
        <f>E24*'8_THAM_SO'!E5</f>
        <v>0.47006685000000009</v>
      </c>
      <c r="J24" s="82" t="str">
        <f>'8_THAM_SO'!F5</f>
        <v>Nhẹ dòng tiền</v>
      </c>
      <c r="K24" s="82"/>
    </row>
    <row r="25" spans="1:11" ht="24" customHeight="1">
      <c r="A25" s="35" t="str">
        <f>'8_THAM_SO'!A4</f>
        <v>48 tháng</v>
      </c>
      <c r="B25" s="70">
        <f>'8_THAM_SO'!B4</f>
        <v>0</v>
      </c>
      <c r="C25" s="70">
        <f>1-(1-(IF($K$7="Có",'8_THAM_SO'!$B$16,0)))*(1-B25)*(1-(IF($B$11&gt;=5,'8_THAM_SO'!$B$19,IF($B$11&gt;=3,'8_THAM_SO'!$B$18,IF($B$11=2,'8_THAM_SO'!$B$17,0)))))</f>
        <v>3.0000000000000027E-2</v>
      </c>
      <c r="D25" s="37">
        <f>$F$7*(1-(IF($K$7="Có",'8_THAM_SO'!$B$16,0)))*(1-B25)*(1-(IF($B$11&gt;=5,'8_THAM_SO'!$B$19,IF($B$11&gt;=3,'8_THAM_SO'!$B$18,IF($B$11=2,'8_THAM_SO'!$B$17,0)))))</f>
        <v>8.6330000000000009</v>
      </c>
      <c r="E25" s="37">
        <f>D25*(1+'8_THAM_SO'!$B$14)</f>
        <v>9.4963000000000015</v>
      </c>
      <c r="F25" s="37">
        <f>IF(A25="Vay ngân hàng",E25*'8_THAM_SO'!$E$13,E25*'8_THAM_SO'!C4)</f>
        <v>2.3740750000000004</v>
      </c>
      <c r="G25" s="37">
        <f>IF(A25="Vay ngân hàng",0,E25*'8_THAM_SO'!D4)</f>
        <v>6.6474100000000007</v>
      </c>
      <c r="H25" s="37">
        <f>D25*'8_THAM_SO'!$B$15</f>
        <v>0.17266000000000001</v>
      </c>
      <c r="I25" s="37">
        <f>E25*'8_THAM_SO'!E4</f>
        <v>0.4748150000000001</v>
      </c>
      <c r="J25" s="82" t="str">
        <f>'8_THAM_SO'!F4</f>
        <v>Nhẹ dòng tiền nhất</v>
      </c>
      <c r="K25" s="82"/>
    </row>
    <row r="27" spans="1:11" s="21" customFormat="1" ht="19.149999999999999" customHeight="1">
      <c r="A27" s="38" t="s">
        <v>34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ht="22.15" customHeight="1">
      <c r="A28" s="18" t="s">
        <v>35</v>
      </c>
      <c r="B28" s="80"/>
      <c r="C28" s="80"/>
    </row>
    <row r="29" spans="1:11" ht="22.15" customHeight="1">
      <c r="A29" s="18" t="s">
        <v>36</v>
      </c>
      <c r="B29" s="80"/>
      <c r="C29" s="80"/>
    </row>
    <row r="30" spans="1:11" ht="22.15" customHeight="1">
      <c r="A30" s="18" t="s">
        <v>37</v>
      </c>
      <c r="B30" s="80"/>
      <c r="C30" s="80"/>
    </row>
    <row r="31" spans="1:11" ht="22.15" customHeight="1">
      <c r="A31" s="18" t="s">
        <v>38</v>
      </c>
      <c r="B31" s="80"/>
      <c r="C31" s="80"/>
    </row>
  </sheetData>
  <mergeCells count="17">
    <mergeCell ref="B14:C14"/>
    <mergeCell ref="B15:C15"/>
    <mergeCell ref="D14:E14"/>
    <mergeCell ref="D15:E15"/>
    <mergeCell ref="F14:G14"/>
    <mergeCell ref="F15:G15"/>
    <mergeCell ref="B28:C28"/>
    <mergeCell ref="B29:C29"/>
    <mergeCell ref="B30:C30"/>
    <mergeCell ref="B31:C31"/>
    <mergeCell ref="J19:K19"/>
    <mergeCell ref="J25:K25"/>
    <mergeCell ref="J24:K24"/>
    <mergeCell ref="J23:K23"/>
    <mergeCell ref="J21:K21"/>
    <mergeCell ref="J22:K22"/>
    <mergeCell ref="J20:K20"/>
  </mergeCells>
  <conditionalFormatting sqref="A20:J25">
    <cfRule type="expression" dxfId="8" priority="1">
      <formula>$A20=$K$8</formula>
    </cfRule>
  </conditionalFormatting>
  <dataValidations count="2">
    <dataValidation type="list" sqref="B7">
      <formula1>"1PN,2PN,3PN"</formula1>
    </dataValidation>
    <dataValidation type="list" sqref="K7">
      <formula1>"Có,Không"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'8_THAM_SO'!$A$4:$A$9</xm:f>
          </x14:formula1>
          <xm:sqref>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showGridLines="0" workbookViewId="0">
      <selection activeCell="G21" sqref="G21"/>
    </sheetView>
  </sheetViews>
  <sheetFormatPr defaultColWidth="8.75" defaultRowHeight="14"/>
  <cols>
    <col min="1" max="1" width="11.25" style="15" customWidth="1"/>
    <col min="2" max="2" width="11.08203125" style="15" customWidth="1"/>
    <col min="3" max="3" width="16.08203125" style="15" customWidth="1"/>
    <col min="4" max="5" width="8.83203125" style="15" customWidth="1"/>
    <col min="6" max="6" width="16.5" style="15" customWidth="1"/>
    <col min="7" max="7" width="16" style="15" customWidth="1"/>
    <col min="8" max="8" width="13.83203125" style="15" customWidth="1"/>
    <col min="9" max="9" width="18.25" style="15" customWidth="1"/>
    <col min="10" max="10" width="41.08203125" style="15" customWidth="1"/>
    <col min="11" max="16384" width="8.75" style="15"/>
  </cols>
  <sheetData>
    <row r="1" spans="1:10" ht="18.5">
      <c r="A1" s="52" t="s">
        <v>39</v>
      </c>
      <c r="B1" s="52"/>
      <c r="C1" s="52"/>
      <c r="D1" s="52"/>
      <c r="E1" s="52"/>
      <c r="F1" s="52"/>
      <c r="G1" s="52"/>
      <c r="H1" s="52"/>
    </row>
    <row r="3" spans="1:10">
      <c r="A3" s="53" t="s">
        <v>40</v>
      </c>
      <c r="B3" s="64" t="str">
        <f>'1_PHIEU_TU_VAN'!B7</f>
        <v>2PN</v>
      </c>
      <c r="C3" s="53" t="s">
        <v>41</v>
      </c>
      <c r="D3" s="63">
        <f>IF('1_PHIEU_TU_VAN'!K7="Có",'8_THAM_SO'!$B$16,0)</f>
        <v>0.03</v>
      </c>
      <c r="F3" s="54" t="s">
        <v>42</v>
      </c>
      <c r="G3" s="50">
        <f>'1_PHIEU_TU_VAN'!F7*1000000000</f>
        <v>8900000000</v>
      </c>
    </row>
    <row r="4" spans="1:10">
      <c r="A4" s="53" t="s">
        <v>43</v>
      </c>
      <c r="B4" s="64">
        <f>'1_PHIEU_TU_VAN'!B9</f>
        <v>74.709999999999994</v>
      </c>
      <c r="C4" s="53" t="s">
        <v>26</v>
      </c>
      <c r="D4" s="63">
        <f>INDEX('8_THAM_SO'!$B$4:$B$9,MATCH("Vay ngân hàng",'8_THAM_SO'!$A$4:$A$9,0))</f>
        <v>0</v>
      </c>
      <c r="F4" s="53" t="s">
        <v>44</v>
      </c>
      <c r="G4" s="50">
        <f>G3*(1-D3)*(1-D4)*(1-D5)</f>
        <v>8633000000</v>
      </c>
    </row>
    <row r="5" spans="1:10">
      <c r="A5" s="60" t="s">
        <v>45</v>
      </c>
      <c r="B5" s="64">
        <f>'1_PHIEU_TU_VAN'!B8</f>
        <v>65.760000000000005</v>
      </c>
      <c r="C5" s="54" t="s">
        <v>46</v>
      </c>
      <c r="D5" s="63">
        <f>IF('1_PHIEU_TU_VAN'!B11&gt;=5,'8_THAM_SO'!$B$19,IF('1_PHIEU_TU_VAN'!B11&gt;=3,'8_THAM_SO'!$B$18,IF('1_PHIEU_TU_VAN'!B11=2,'8_THAM_SO'!$B$17,0)))</f>
        <v>0</v>
      </c>
      <c r="F5" s="54" t="s">
        <v>47</v>
      </c>
      <c r="G5" s="50">
        <f>G4*(1+'8_THAM_SO'!$B$14)</f>
        <v>9496300000</v>
      </c>
    </row>
    <row r="6" spans="1:10">
      <c r="C6" s="54" t="s">
        <v>27</v>
      </c>
      <c r="D6" s="63">
        <f>1-(1-D3)*(1-D4)*(1-D5)</f>
        <v>3.0000000000000027E-2</v>
      </c>
    </row>
    <row r="9" spans="1:10">
      <c r="A9" s="34" t="s">
        <v>48</v>
      </c>
      <c r="B9" s="34" t="s">
        <v>49</v>
      </c>
      <c r="C9" s="34" t="s">
        <v>50</v>
      </c>
      <c r="D9" s="34" t="s">
        <v>51</v>
      </c>
      <c r="E9" s="34" t="s">
        <v>52</v>
      </c>
      <c r="F9" s="34" t="s">
        <v>53</v>
      </c>
      <c r="G9" s="34" t="s">
        <v>54</v>
      </c>
      <c r="H9" s="34" t="s">
        <v>55</v>
      </c>
      <c r="I9" s="34" t="s">
        <v>56</v>
      </c>
      <c r="J9" s="34" t="s">
        <v>57</v>
      </c>
    </row>
    <row r="10" spans="1:10">
      <c r="A10" s="41"/>
      <c r="B10" s="42">
        <f>'1_PHIEU_TU_VAN'!$K$9-7</f>
        <v>46288</v>
      </c>
      <c r="C10" s="41" t="s">
        <v>58</v>
      </c>
      <c r="D10" s="41"/>
      <c r="E10" s="41"/>
      <c r="F10" s="41"/>
      <c r="G10" s="49">
        <f>'8_THAM_SO'!$B$13</f>
        <v>100000000</v>
      </c>
      <c r="H10" s="49"/>
      <c r="I10" s="49">
        <f>G10</f>
        <v>100000000</v>
      </c>
      <c r="J10" s="43"/>
    </row>
    <row r="11" spans="1:10">
      <c r="A11" s="71" t="str">
        <f>IF(B11="","","Đợt "&amp;COUNT($B$11:B11))</f>
        <v>Đợt 1</v>
      </c>
      <c r="B11" s="74">
        <f>'1_PHIEU_TU_VAN'!$K$9</f>
        <v>46295</v>
      </c>
      <c r="C11" s="71" t="str">
        <f>IF(B11="","",IF(B11='1_PHIEU_TU_VAN'!$K$9,"Ký HĐMB",IF(B11='1_PHIEU_TU_VAN'!$K$10,"Nhận nhà dự kiến","Sau 00 tháng")))</f>
        <v>Ký HĐMB</v>
      </c>
      <c r="D11" s="72">
        <f>IF(B11="","",IF(B11='1_PHIEU_TU_VAN'!$K$10,MAX(0,'8_THAM_SO'!$E$13-5%-(0)),0.1))</f>
        <v>0.1</v>
      </c>
      <c r="E11" s="72">
        <f>IF(B11="","",IF(B11='1_PHIEU_TU_VAN'!$K$10,MAX(0,'8_THAM_SO'!$E$14-(0)),0))</f>
        <v>0</v>
      </c>
      <c r="F11" s="72">
        <f>IF(B11="","",D11+E11)</f>
        <v>0.1</v>
      </c>
      <c r="G11" s="75">
        <f t="shared" ref="G11:H14" si="0">IF(D11="","",$G$5*D11)</f>
        <v>949630000</v>
      </c>
      <c r="H11" s="75">
        <f t="shared" si="0"/>
        <v>0</v>
      </c>
      <c r="I11" s="75">
        <f>IF(F11="","",$G$5*SUM($F$11:F11))</f>
        <v>949630000</v>
      </c>
      <c r="J11" s="73" t="str">
        <f>IF(B11="","",IF(B11='1_PHIEU_TU_VAN'!$K$9,"Đã bao gồm 100 triệu đặt cọc",IF(B11='1_PHIEU_TU_VAN'!$K$10,"Mốc nhận nhà dự kiến","")))</f>
        <v>Đã bao gồm 100 triệu đặt cọc</v>
      </c>
    </row>
    <row r="12" spans="1:10">
      <c r="A12" s="71" t="str">
        <f>IF(B12="","","Đợt "&amp;COUNT($B$11:B12))</f>
        <v>Đợt 2</v>
      </c>
      <c r="B12" s="74">
        <f>IF($B11='1_PHIEU_TU_VAN'!$K$10,"",MIN(EDATE('1_PHIEU_TU_VAN'!$K$9,1),'1_PHIEU_TU_VAN'!$K$10))</f>
        <v>46325</v>
      </c>
      <c r="C12" s="71" t="str">
        <f>IF(B12="","",IF(B12='1_PHIEU_TU_VAN'!$K$9,"Ký HĐMB",IF(B12='1_PHIEU_TU_VAN'!$K$10,"Nhận nhà dự kiến","Sau 01 tháng")))</f>
        <v>Sau 01 tháng</v>
      </c>
      <c r="D12" s="72">
        <f>IF(B12="","",IF(B12='1_PHIEU_TU_VAN'!$K$10,MAX(0,'8_THAM_SO'!$E$13-5%-(SUM($D$11:D11))),0.1))</f>
        <v>0.1</v>
      </c>
      <c r="E12" s="72">
        <f>IF(B12="","",IF(B12='1_PHIEU_TU_VAN'!$K$10,MAX(0,'8_THAM_SO'!$E$14-(SUM($E$11:E11))),0))</f>
        <v>0</v>
      </c>
      <c r="F12" s="72">
        <f>IF(B12="","",D12+E12)</f>
        <v>0.1</v>
      </c>
      <c r="G12" s="75">
        <f t="shared" si="0"/>
        <v>949630000</v>
      </c>
      <c r="H12" s="75">
        <f t="shared" si="0"/>
        <v>0</v>
      </c>
      <c r="I12" s="75">
        <f>IF(F12="","",$G$5*SUM($F$11:F12))</f>
        <v>1899260000</v>
      </c>
      <c r="J12" s="73" t="str">
        <f>IF(B12="","",IF(B12='1_PHIEU_TU_VAN'!$K$9,"Đã bao gồm 100 triệu đặt cọc",IF(B12='1_PHIEU_TU_VAN'!$K$10,"Mốc nhận nhà dự kiến","")))</f>
        <v/>
      </c>
    </row>
    <row r="13" spans="1:10">
      <c r="A13" s="71" t="str">
        <f>IF(B13="","","Đợt "&amp;COUNT($B$11:B13))</f>
        <v>Đợt 3</v>
      </c>
      <c r="B13" s="74">
        <f>IF($B12='1_PHIEU_TU_VAN'!$K$10,"",MIN(EDATE('1_PHIEU_TU_VAN'!$K$9,2),'1_PHIEU_TU_VAN'!$K$10))</f>
        <v>46356</v>
      </c>
      <c r="C13" s="71" t="str">
        <f>IF(B13="","",IF(B13='1_PHIEU_TU_VAN'!$K$9,"Ký HĐMB",IF(B13='1_PHIEU_TU_VAN'!$K$10,"Nhận nhà dự kiến","Sau 02 tháng")))</f>
        <v>Sau 02 tháng</v>
      </c>
      <c r="D13" s="72">
        <f>IF(B13="","",IF(B13='1_PHIEU_TU_VAN'!$K$10,MAX(0,'8_THAM_SO'!$E$13-5%-(SUM($D$11:D12))),0))</f>
        <v>0</v>
      </c>
      <c r="E13" s="72">
        <f>IF(B13="","",IF(B13='1_PHIEU_TU_VAN'!$K$10,MAX(0,'8_THAM_SO'!$E$14-(SUM($E$11:E12))),0.4))</f>
        <v>0.4</v>
      </c>
      <c r="F13" s="72">
        <f>IF(B13="","",D13+E13)</f>
        <v>0.4</v>
      </c>
      <c r="G13" s="75">
        <f t="shared" si="0"/>
        <v>0</v>
      </c>
      <c r="H13" s="75">
        <f t="shared" si="0"/>
        <v>3798520000</v>
      </c>
      <c r="I13" s="75">
        <f>IF(F13="","",$G$5*SUM($F$11:F13))</f>
        <v>5697780000.000001</v>
      </c>
      <c r="J13" s="73" t="str">
        <f>IF(B13="","",IF(B13='1_PHIEU_TU_VAN'!$K$9,"Đã bao gồm 100 triệu đặt cọc",IF(B13='1_PHIEU_TU_VAN'!$K$10,"Mốc nhận nhà dự kiến","")))</f>
        <v/>
      </c>
    </row>
    <row r="14" spans="1:10">
      <c r="A14" s="71" t="str">
        <f>IF(B14="","","Đợt "&amp;COUNT($B$11:B14))</f>
        <v>Đợt 4</v>
      </c>
      <c r="B14" s="74">
        <f>IF($B13='1_PHIEU_TU_VAN'!$K$10,"",MIN(EDATE('1_PHIEU_TU_VAN'!$K$9,9),'1_PHIEU_TU_VAN'!$K$10))</f>
        <v>46568</v>
      </c>
      <c r="C14" s="71" t="str">
        <f>IF(B14="","",IF(B14='1_PHIEU_TU_VAN'!$K$9,"Ký HĐMB",IF(B14='1_PHIEU_TU_VAN'!$K$10,"Nhận nhà dự kiến","Sau 06 tháng")))</f>
        <v>Nhận nhà dự kiến</v>
      </c>
      <c r="D14" s="72">
        <f>IF(B14="","",IF(B14='1_PHIEU_TU_VAN'!$K$10,MAX(0,'8_THAM_SO'!$E$13-5%-(SUM($D$11:D13))),0))</f>
        <v>4.9999999999999989E-2</v>
      </c>
      <c r="E14" s="72">
        <f>IF(B14="","",IF(B14='1_PHIEU_TU_VAN'!$K$10,MAX(0,'8_THAM_SO'!$E$14-(SUM($E$11:E13))),0))</f>
        <v>0.29999999999999993</v>
      </c>
      <c r="F14" s="72">
        <f>IF(B14="","",D14+E14)</f>
        <v>0.34999999999999992</v>
      </c>
      <c r="G14" s="75">
        <f t="shared" si="0"/>
        <v>474814999.99999988</v>
      </c>
      <c r="H14" s="75">
        <f t="shared" si="0"/>
        <v>2848889999.9999995</v>
      </c>
      <c r="I14" s="75">
        <f>IF(F14="","",$G$5*SUM($F$11:F14))</f>
        <v>9021485000</v>
      </c>
      <c r="J14" s="73" t="str">
        <f>IF(B14="","",IF(B14='1_PHIEU_TU_VAN'!$K$9,"Đã bao gồm 100 triệu đặt cọc",IF(B14='1_PHIEU_TU_VAN'!$K$10,"Mốc nhận nhà dự kiến","")))</f>
        <v>Mốc nhận nhà dự kiến</v>
      </c>
    </row>
    <row r="15" spans="1:10">
      <c r="A15" s="71" t="str">
        <f>"Đợt "&amp;(COUNT($B$11:$B$14)+1)</f>
        <v>Đợt 5</v>
      </c>
      <c r="B15" s="74"/>
      <c r="C15" s="71" t="s">
        <v>59</v>
      </c>
      <c r="D15" s="72">
        <v>0.05</v>
      </c>
      <c r="E15" s="72">
        <v>0</v>
      </c>
      <c r="F15" s="72">
        <f>D15+E15</f>
        <v>0.05</v>
      </c>
      <c r="G15" s="75">
        <f>$G$5*D15</f>
        <v>474815000</v>
      </c>
      <c r="H15" s="75">
        <f>0</f>
        <v>0</v>
      </c>
      <c r="I15" s="75">
        <f>$G$5</f>
        <v>9496300000</v>
      </c>
      <c r="J15" s="73"/>
    </row>
    <row r="16" spans="1:10" ht="14.5">
      <c r="A16" s="56" t="s">
        <v>60</v>
      </c>
      <c r="B16" s="56"/>
      <c r="C16" s="56"/>
      <c r="D16" s="57">
        <f>SUM($D$11:$D$15)</f>
        <v>0.3</v>
      </c>
      <c r="E16" s="57">
        <f>SUM($E$11:$E$15)</f>
        <v>0.7</v>
      </c>
      <c r="F16" s="57">
        <f>SUM($F$11:$F$15)</f>
        <v>1</v>
      </c>
      <c r="G16" s="76">
        <f>SUM($G$11:$G$15)</f>
        <v>2848890000</v>
      </c>
      <c r="H16" s="76">
        <f>SUM($H$11:$H$15)</f>
        <v>6647410000</v>
      </c>
      <c r="I16" s="76">
        <f>$G$16+$H$16</f>
        <v>9496300000</v>
      </c>
      <c r="J16" s="56" t="s">
        <v>61</v>
      </c>
    </row>
    <row r="17" spans="7:9">
      <c r="G17" s="55"/>
      <c r="H17" s="55"/>
      <c r="I17" s="55"/>
    </row>
    <row r="18" spans="7:9">
      <c r="G18" s="55"/>
      <c r="H18" s="55"/>
      <c r="I18" s="55"/>
    </row>
    <row r="19" spans="7:9">
      <c r="G19" s="55"/>
      <c r="H19" s="55"/>
      <c r="I19" s="55"/>
    </row>
    <row r="20" spans="7:9">
      <c r="G20" s="55"/>
      <c r="H20" s="55"/>
      <c r="I20" s="55"/>
    </row>
    <row r="21" spans="7:9">
      <c r="G21" s="55"/>
      <c r="H21" s="55"/>
      <c r="I21" s="55"/>
    </row>
    <row r="22" spans="7:9">
      <c r="G22" s="55"/>
      <c r="H22" s="55"/>
      <c r="I22" s="55"/>
    </row>
    <row r="23" spans="7:9">
      <c r="G23" s="55"/>
      <c r="H23" s="55"/>
      <c r="I23" s="55"/>
    </row>
    <row r="24" spans="7:9">
      <c r="G24" s="55"/>
      <c r="H24" s="55"/>
      <c r="I24" s="55"/>
    </row>
    <row r="25" spans="7:9">
      <c r="G25" s="55"/>
      <c r="H25" s="55"/>
      <c r="I25" s="55"/>
    </row>
    <row r="26" spans="7:9">
      <c r="G26" s="55"/>
      <c r="H26" s="55"/>
      <c r="I26" s="55"/>
    </row>
    <row r="27" spans="7:9">
      <c r="G27" s="55"/>
      <c r="H27" s="55"/>
      <c r="I27" s="55"/>
    </row>
    <row r="28" spans="7:9">
      <c r="G28" s="55"/>
      <c r="H28" s="55"/>
      <c r="I28" s="55"/>
    </row>
    <row r="29" spans="7:9">
      <c r="G29" s="55"/>
      <c r="H29" s="55"/>
      <c r="I29" s="55"/>
    </row>
    <row r="30" spans="7:9">
      <c r="G30" s="55"/>
      <c r="H30" s="55"/>
      <c r="I30" s="55"/>
    </row>
    <row r="31" spans="7:9">
      <c r="G31" s="55"/>
      <c r="H31" s="55"/>
      <c r="I31" s="55"/>
    </row>
    <row r="32" spans="7:9">
      <c r="G32" s="55"/>
      <c r="H32" s="55"/>
      <c r="I32" s="55"/>
    </row>
    <row r="33" spans="7:9">
      <c r="G33" s="55"/>
      <c r="H33" s="55"/>
      <c r="I33" s="55"/>
    </row>
    <row r="34" spans="7:9">
      <c r="G34" s="55"/>
      <c r="H34" s="55"/>
      <c r="I34" s="55"/>
    </row>
    <row r="35" spans="7:9">
      <c r="G35" s="55"/>
      <c r="H35" s="55"/>
      <c r="I35" s="55"/>
    </row>
    <row r="36" spans="7:9">
      <c r="G36" s="55"/>
      <c r="H36" s="55"/>
      <c r="I36" s="55"/>
    </row>
    <row r="37" spans="7:9">
      <c r="G37" s="55"/>
      <c r="H37" s="55"/>
      <c r="I37" s="55"/>
    </row>
    <row r="38" spans="7:9">
      <c r="G38" s="55"/>
      <c r="H38" s="55"/>
      <c r="I38" s="55"/>
    </row>
    <row r="39" spans="7:9">
      <c r="G39" s="55"/>
      <c r="H39" s="55"/>
      <c r="I39" s="55"/>
    </row>
    <row r="40" spans="7:9">
      <c r="G40" s="55"/>
      <c r="H40" s="55"/>
      <c r="I40" s="55"/>
    </row>
    <row r="41" spans="7:9">
      <c r="G41" s="55"/>
      <c r="H41" s="55"/>
      <c r="I41" s="55"/>
    </row>
    <row r="42" spans="7:9">
      <c r="G42" s="55"/>
      <c r="H42" s="55"/>
      <c r="I42" s="55"/>
    </row>
    <row r="43" spans="7:9">
      <c r="G43" s="55"/>
      <c r="H43" s="55"/>
      <c r="I43" s="55"/>
    </row>
    <row r="44" spans="7:9">
      <c r="G44" s="55"/>
      <c r="H44" s="55"/>
      <c r="I44" s="55"/>
    </row>
    <row r="45" spans="7:9">
      <c r="G45" s="55"/>
      <c r="H45" s="55"/>
      <c r="I45" s="55"/>
    </row>
    <row r="46" spans="7:9">
      <c r="G46" s="55"/>
      <c r="H46" s="55"/>
      <c r="I46" s="55"/>
    </row>
    <row r="47" spans="7:9">
      <c r="G47" s="55"/>
      <c r="H47" s="55"/>
      <c r="I47" s="55"/>
    </row>
    <row r="48" spans="7:9">
      <c r="G48" s="55"/>
      <c r="H48" s="55"/>
      <c r="I48" s="55"/>
    </row>
    <row r="49" spans="7:9">
      <c r="G49" s="55"/>
      <c r="H49" s="55"/>
      <c r="I49" s="55"/>
    </row>
    <row r="50" spans="7:9">
      <c r="G50" s="55"/>
      <c r="H50" s="55"/>
      <c r="I50" s="55"/>
    </row>
    <row r="51" spans="7:9">
      <c r="G51" s="55"/>
      <c r="H51" s="55"/>
      <c r="I51" s="55"/>
    </row>
    <row r="52" spans="7:9">
      <c r="G52" s="55"/>
      <c r="H52" s="55"/>
      <c r="I52" s="55"/>
    </row>
    <row r="53" spans="7:9">
      <c r="G53" s="55"/>
      <c r="H53" s="55"/>
      <c r="I53" s="55"/>
    </row>
    <row r="54" spans="7:9">
      <c r="G54" s="55"/>
      <c r="H54" s="55"/>
      <c r="I54" s="55"/>
    </row>
    <row r="55" spans="7:9">
      <c r="G55" s="55"/>
      <c r="H55" s="55"/>
      <c r="I55" s="55"/>
    </row>
    <row r="56" spans="7:9">
      <c r="G56" s="55"/>
      <c r="H56" s="55"/>
      <c r="I56" s="55"/>
    </row>
    <row r="57" spans="7:9">
      <c r="G57" s="55"/>
      <c r="H57" s="55"/>
      <c r="I57" s="55"/>
    </row>
    <row r="58" spans="7:9">
      <c r="G58" s="55"/>
      <c r="H58" s="55"/>
      <c r="I58" s="55"/>
    </row>
    <row r="59" spans="7:9">
      <c r="G59" s="55"/>
      <c r="H59" s="55"/>
      <c r="I59" s="55"/>
    </row>
    <row r="60" spans="7:9">
      <c r="G60" s="55"/>
      <c r="H60" s="55"/>
      <c r="I60" s="55"/>
    </row>
    <row r="61" spans="7:9">
      <c r="G61" s="55"/>
      <c r="H61" s="55"/>
      <c r="I61" s="55"/>
    </row>
    <row r="62" spans="7:9">
      <c r="G62" s="55"/>
      <c r="H62" s="55"/>
      <c r="I62" s="55"/>
    </row>
    <row r="63" spans="7:9">
      <c r="G63" s="55"/>
      <c r="H63" s="55"/>
      <c r="I63" s="55"/>
    </row>
    <row r="64" spans="7:9">
      <c r="G64" s="55"/>
      <c r="H64" s="55"/>
      <c r="I64" s="55"/>
    </row>
    <row r="65" spans="7:9">
      <c r="G65" s="55"/>
      <c r="H65" s="55"/>
      <c r="I65" s="55"/>
    </row>
    <row r="66" spans="7:9">
      <c r="G66" s="55"/>
      <c r="H66" s="55"/>
      <c r="I66" s="55"/>
    </row>
    <row r="67" spans="7:9">
      <c r="G67" s="55"/>
      <c r="H67" s="55"/>
      <c r="I67" s="55"/>
    </row>
    <row r="68" spans="7:9">
      <c r="G68" s="55"/>
      <c r="H68" s="55"/>
      <c r="I68" s="55"/>
    </row>
    <row r="69" spans="7:9">
      <c r="G69" s="55"/>
      <c r="H69" s="55"/>
      <c r="I69" s="55"/>
    </row>
    <row r="70" spans="7:9">
      <c r="G70" s="55"/>
      <c r="H70" s="55"/>
      <c r="I70" s="55"/>
    </row>
    <row r="71" spans="7:9">
      <c r="G71" s="55"/>
      <c r="H71" s="55"/>
      <c r="I71" s="55"/>
    </row>
    <row r="72" spans="7:9">
      <c r="G72" s="55"/>
      <c r="H72" s="55"/>
      <c r="I72" s="55"/>
    </row>
    <row r="73" spans="7:9">
      <c r="G73" s="55"/>
      <c r="H73" s="55"/>
      <c r="I73" s="55"/>
    </row>
    <row r="74" spans="7:9">
      <c r="G74" s="55"/>
      <c r="H74" s="55"/>
      <c r="I74" s="55"/>
    </row>
    <row r="75" spans="7:9">
      <c r="G75" s="55"/>
      <c r="H75" s="55"/>
      <c r="I75" s="55"/>
    </row>
    <row r="76" spans="7:9">
      <c r="G76" s="55"/>
      <c r="H76" s="55"/>
      <c r="I76" s="55"/>
    </row>
    <row r="77" spans="7:9">
      <c r="G77" s="55"/>
      <c r="H77" s="55"/>
      <c r="I77" s="55"/>
    </row>
    <row r="78" spans="7:9">
      <c r="G78" s="55"/>
      <c r="H78" s="55"/>
      <c r="I78" s="55"/>
    </row>
    <row r="79" spans="7:9">
      <c r="G79" s="55"/>
      <c r="H79" s="55"/>
      <c r="I79" s="55"/>
    </row>
    <row r="80" spans="7:9">
      <c r="G80" s="55"/>
      <c r="H80" s="55"/>
      <c r="I80" s="55"/>
    </row>
    <row r="81" spans="7:9">
      <c r="G81" s="55"/>
      <c r="H81" s="55"/>
      <c r="I81" s="55"/>
    </row>
    <row r="82" spans="7:9">
      <c r="G82" s="55"/>
      <c r="H82" s="55"/>
      <c r="I82" s="55"/>
    </row>
    <row r="83" spans="7:9">
      <c r="G83" s="55"/>
      <c r="H83" s="55"/>
      <c r="I83" s="55"/>
    </row>
    <row r="84" spans="7:9">
      <c r="G84" s="55"/>
      <c r="H84" s="55"/>
      <c r="I84" s="55"/>
    </row>
    <row r="85" spans="7:9">
      <c r="G85" s="55"/>
      <c r="H85" s="55"/>
      <c r="I85" s="55"/>
    </row>
    <row r="86" spans="7:9">
      <c r="G86" s="55"/>
      <c r="H86" s="55"/>
      <c r="I86" s="55"/>
    </row>
    <row r="87" spans="7:9">
      <c r="G87" s="55"/>
      <c r="H87" s="55"/>
      <c r="I87" s="55"/>
    </row>
    <row r="88" spans="7:9">
      <c r="G88" s="55"/>
      <c r="H88" s="55"/>
      <c r="I88" s="55"/>
    </row>
    <row r="89" spans="7:9">
      <c r="G89" s="55"/>
      <c r="H89" s="55"/>
      <c r="I89" s="55"/>
    </row>
    <row r="90" spans="7:9">
      <c r="G90" s="55"/>
      <c r="H90" s="55"/>
      <c r="I90" s="55"/>
    </row>
    <row r="91" spans="7:9">
      <c r="G91" s="55"/>
      <c r="H91" s="55"/>
      <c r="I91" s="55"/>
    </row>
    <row r="92" spans="7:9">
      <c r="G92" s="55"/>
      <c r="H92" s="55"/>
      <c r="I92" s="55"/>
    </row>
    <row r="93" spans="7:9">
      <c r="G93" s="55"/>
      <c r="H93" s="55"/>
      <c r="I93" s="55"/>
    </row>
    <row r="94" spans="7:9">
      <c r="G94" s="55"/>
      <c r="H94" s="55"/>
      <c r="I94" s="55"/>
    </row>
    <row r="95" spans="7:9">
      <c r="G95" s="55"/>
      <c r="H95" s="55"/>
      <c r="I95" s="55"/>
    </row>
    <row r="96" spans="7:9">
      <c r="G96" s="55"/>
      <c r="H96" s="55"/>
      <c r="I96" s="55"/>
    </row>
    <row r="97" spans="7:9">
      <c r="G97" s="55"/>
      <c r="H97" s="55"/>
      <c r="I97" s="55"/>
    </row>
    <row r="98" spans="7:9">
      <c r="G98" s="55"/>
      <c r="H98" s="55"/>
      <c r="I98" s="55"/>
    </row>
    <row r="99" spans="7:9">
      <c r="G99" s="55"/>
      <c r="H99" s="55"/>
      <c r="I99" s="55"/>
    </row>
    <row r="100" spans="7:9">
      <c r="G100" s="55"/>
      <c r="H100" s="55"/>
      <c r="I100" s="55"/>
    </row>
    <row r="101" spans="7:9">
      <c r="G101" s="55"/>
      <c r="H101" s="55"/>
      <c r="I101" s="55"/>
    </row>
    <row r="102" spans="7:9">
      <c r="G102" s="55"/>
      <c r="H102" s="55"/>
      <c r="I102" s="55"/>
    </row>
    <row r="103" spans="7:9">
      <c r="G103" s="55"/>
      <c r="H103" s="55"/>
      <c r="I103" s="55"/>
    </row>
    <row r="104" spans="7:9">
      <c r="G104" s="55"/>
      <c r="H104" s="55"/>
      <c r="I104" s="55"/>
    </row>
    <row r="105" spans="7:9">
      <c r="G105" s="55"/>
      <c r="H105" s="55"/>
      <c r="I105" s="55"/>
    </row>
    <row r="106" spans="7:9">
      <c r="G106" s="55"/>
      <c r="H106" s="55"/>
      <c r="I106" s="55"/>
    </row>
    <row r="107" spans="7:9">
      <c r="G107" s="55"/>
      <c r="H107" s="55"/>
      <c r="I107" s="55"/>
    </row>
    <row r="108" spans="7:9">
      <c r="G108" s="55"/>
      <c r="H108" s="55"/>
      <c r="I108" s="55"/>
    </row>
    <row r="109" spans="7:9">
      <c r="G109" s="55"/>
      <c r="H109" s="55"/>
      <c r="I109" s="55"/>
    </row>
    <row r="110" spans="7:9">
      <c r="G110" s="55"/>
      <c r="H110" s="55"/>
      <c r="I110" s="55"/>
    </row>
    <row r="111" spans="7:9">
      <c r="G111" s="55"/>
      <c r="H111" s="55"/>
      <c r="I111" s="55"/>
    </row>
    <row r="112" spans="7:9">
      <c r="G112" s="55"/>
      <c r="H112" s="55"/>
      <c r="I112" s="55"/>
    </row>
    <row r="113" spans="7:9">
      <c r="G113" s="55"/>
      <c r="H113" s="55"/>
      <c r="I113" s="55"/>
    </row>
    <row r="114" spans="7:9">
      <c r="G114" s="55"/>
      <c r="H114" s="55"/>
      <c r="I114" s="55"/>
    </row>
    <row r="115" spans="7:9">
      <c r="G115" s="55"/>
      <c r="H115" s="55"/>
      <c r="I115" s="55"/>
    </row>
    <row r="116" spans="7:9">
      <c r="G116" s="55"/>
      <c r="H116" s="55"/>
      <c r="I116" s="55"/>
    </row>
    <row r="117" spans="7:9">
      <c r="G117" s="55"/>
      <c r="H117" s="55"/>
      <c r="I117" s="55"/>
    </row>
    <row r="118" spans="7:9">
      <c r="G118" s="55"/>
      <c r="H118" s="55"/>
      <c r="I118" s="55"/>
    </row>
    <row r="119" spans="7:9">
      <c r="G119" s="55"/>
      <c r="H119" s="55"/>
      <c r="I119" s="55"/>
    </row>
    <row r="120" spans="7:9">
      <c r="G120" s="55"/>
      <c r="H120" s="55"/>
      <c r="I120" s="55"/>
    </row>
    <row r="121" spans="7:9">
      <c r="G121" s="55"/>
      <c r="H121" s="55"/>
      <c r="I121" s="55"/>
    </row>
    <row r="122" spans="7:9">
      <c r="G122" s="55"/>
      <c r="H122" s="55"/>
      <c r="I122" s="55"/>
    </row>
    <row r="123" spans="7:9">
      <c r="G123" s="55"/>
      <c r="H123" s="55"/>
      <c r="I123" s="55"/>
    </row>
    <row r="124" spans="7:9">
      <c r="G124" s="55"/>
      <c r="H124" s="55"/>
      <c r="I124" s="55"/>
    </row>
    <row r="125" spans="7:9">
      <c r="G125" s="55"/>
      <c r="H125" s="55"/>
      <c r="I125" s="55"/>
    </row>
    <row r="126" spans="7:9">
      <c r="G126" s="55"/>
      <c r="H126" s="55"/>
      <c r="I126" s="55"/>
    </row>
    <row r="127" spans="7:9">
      <c r="G127" s="55"/>
      <c r="H127" s="55"/>
      <c r="I127" s="55"/>
    </row>
    <row r="128" spans="7:9">
      <c r="G128" s="55"/>
      <c r="H128" s="55"/>
      <c r="I128" s="55"/>
    </row>
    <row r="129" spans="7:9">
      <c r="G129" s="55"/>
      <c r="H129" s="55"/>
      <c r="I129" s="55"/>
    </row>
    <row r="130" spans="7:9">
      <c r="G130" s="55"/>
      <c r="H130" s="55"/>
      <c r="I130" s="55"/>
    </row>
    <row r="131" spans="7:9">
      <c r="G131" s="55"/>
      <c r="H131" s="55"/>
      <c r="I131" s="55"/>
    </row>
    <row r="132" spans="7:9">
      <c r="G132" s="55"/>
      <c r="H132" s="55"/>
      <c r="I132" s="55"/>
    </row>
    <row r="133" spans="7:9">
      <c r="G133" s="55"/>
      <c r="H133" s="55"/>
      <c r="I133" s="55"/>
    </row>
    <row r="134" spans="7:9">
      <c r="G134" s="55"/>
      <c r="H134" s="55"/>
      <c r="I134" s="55"/>
    </row>
    <row r="135" spans="7:9">
      <c r="G135" s="55"/>
      <c r="H135" s="55"/>
      <c r="I135" s="55"/>
    </row>
    <row r="136" spans="7:9">
      <c r="G136" s="55"/>
      <c r="H136" s="55"/>
      <c r="I136" s="55"/>
    </row>
    <row r="137" spans="7:9">
      <c r="G137" s="55"/>
      <c r="H137" s="55"/>
      <c r="I137" s="55"/>
    </row>
    <row r="138" spans="7:9">
      <c r="G138" s="55"/>
      <c r="H138" s="55"/>
      <c r="I138" s="55"/>
    </row>
    <row r="139" spans="7:9">
      <c r="G139" s="55"/>
      <c r="H139" s="55"/>
      <c r="I139" s="55"/>
    </row>
    <row r="140" spans="7:9">
      <c r="G140" s="55"/>
      <c r="H140" s="55"/>
      <c r="I140" s="55"/>
    </row>
    <row r="141" spans="7:9">
      <c r="G141" s="55"/>
      <c r="H141" s="55"/>
      <c r="I141" s="55"/>
    </row>
    <row r="142" spans="7:9">
      <c r="G142" s="55"/>
      <c r="H142" s="55"/>
      <c r="I142" s="55"/>
    </row>
    <row r="143" spans="7:9">
      <c r="G143" s="55"/>
      <c r="H143" s="55"/>
      <c r="I143" s="55"/>
    </row>
    <row r="144" spans="7:9">
      <c r="G144" s="55"/>
      <c r="H144" s="55"/>
      <c r="I144" s="55"/>
    </row>
    <row r="145" spans="7:9">
      <c r="G145" s="55"/>
      <c r="H145" s="55"/>
      <c r="I145" s="55"/>
    </row>
    <row r="146" spans="7:9">
      <c r="G146" s="55"/>
      <c r="H146" s="55"/>
      <c r="I146" s="55"/>
    </row>
    <row r="147" spans="7:9">
      <c r="G147" s="55"/>
      <c r="H147" s="55"/>
      <c r="I147" s="55"/>
    </row>
    <row r="148" spans="7:9">
      <c r="G148" s="55"/>
      <c r="H148" s="55"/>
      <c r="I148" s="55"/>
    </row>
    <row r="149" spans="7:9">
      <c r="G149" s="55"/>
      <c r="H149" s="55"/>
      <c r="I149" s="55"/>
    </row>
    <row r="150" spans="7:9">
      <c r="G150" s="55"/>
      <c r="H150" s="55"/>
      <c r="I150" s="55"/>
    </row>
    <row r="151" spans="7:9">
      <c r="G151" s="55"/>
      <c r="H151" s="55"/>
      <c r="I151" s="55"/>
    </row>
    <row r="152" spans="7:9">
      <c r="G152" s="55"/>
      <c r="H152" s="55"/>
      <c r="I152" s="55"/>
    </row>
    <row r="153" spans="7:9">
      <c r="G153" s="55"/>
      <c r="H153" s="55"/>
      <c r="I153" s="55"/>
    </row>
    <row r="154" spans="7:9">
      <c r="G154" s="55"/>
      <c r="H154" s="55"/>
      <c r="I154" s="55"/>
    </row>
    <row r="155" spans="7:9">
      <c r="G155" s="55"/>
      <c r="H155" s="55"/>
      <c r="I155" s="55"/>
    </row>
    <row r="156" spans="7:9">
      <c r="G156" s="55"/>
      <c r="H156" s="55"/>
      <c r="I156" s="55"/>
    </row>
    <row r="157" spans="7:9">
      <c r="G157" s="55"/>
      <c r="H157" s="55"/>
      <c r="I157" s="55"/>
    </row>
    <row r="158" spans="7:9">
      <c r="G158" s="55"/>
      <c r="H158" s="55"/>
      <c r="I158" s="55"/>
    </row>
    <row r="159" spans="7:9">
      <c r="G159" s="55"/>
      <c r="H159" s="55"/>
      <c r="I159" s="55"/>
    </row>
    <row r="160" spans="7:9">
      <c r="G160" s="55"/>
      <c r="H160" s="55"/>
      <c r="I160" s="55"/>
    </row>
    <row r="161" spans="7:9">
      <c r="G161" s="55"/>
      <c r="H161" s="55"/>
      <c r="I161" s="55"/>
    </row>
    <row r="162" spans="7:9">
      <c r="G162" s="55"/>
      <c r="H162" s="55"/>
      <c r="I162" s="55"/>
    </row>
    <row r="163" spans="7:9">
      <c r="G163" s="55"/>
      <c r="H163" s="55"/>
      <c r="I163" s="55"/>
    </row>
    <row r="164" spans="7:9">
      <c r="G164" s="55"/>
      <c r="H164" s="55"/>
      <c r="I164" s="55"/>
    </row>
    <row r="165" spans="7:9">
      <c r="G165" s="55"/>
      <c r="H165" s="55"/>
      <c r="I165" s="55"/>
    </row>
    <row r="166" spans="7:9">
      <c r="G166" s="55"/>
      <c r="H166" s="55"/>
      <c r="I166" s="55"/>
    </row>
    <row r="167" spans="7:9">
      <c r="G167" s="55"/>
      <c r="H167" s="55"/>
      <c r="I167" s="55"/>
    </row>
    <row r="168" spans="7:9">
      <c r="G168" s="55"/>
      <c r="H168" s="55"/>
      <c r="I168" s="55"/>
    </row>
    <row r="169" spans="7:9">
      <c r="G169" s="55"/>
      <c r="H169" s="55"/>
      <c r="I169" s="55"/>
    </row>
    <row r="170" spans="7:9">
      <c r="G170" s="55"/>
      <c r="H170" s="55"/>
      <c r="I170" s="55"/>
    </row>
    <row r="171" spans="7:9">
      <c r="G171" s="55"/>
      <c r="H171" s="55"/>
      <c r="I171" s="55"/>
    </row>
    <row r="172" spans="7:9">
      <c r="G172" s="55"/>
      <c r="H172" s="55"/>
      <c r="I172" s="55"/>
    </row>
    <row r="173" spans="7:9">
      <c r="G173" s="55"/>
      <c r="H173" s="55"/>
      <c r="I173" s="55"/>
    </row>
    <row r="174" spans="7:9">
      <c r="G174" s="55"/>
      <c r="H174" s="55"/>
      <c r="I174" s="55"/>
    </row>
    <row r="175" spans="7:9">
      <c r="G175" s="55"/>
      <c r="H175" s="55"/>
      <c r="I175" s="55"/>
    </row>
    <row r="176" spans="7:9">
      <c r="G176" s="55"/>
      <c r="H176" s="55"/>
      <c r="I176" s="55"/>
    </row>
    <row r="177" spans="7:9">
      <c r="G177" s="55"/>
      <c r="H177" s="55"/>
      <c r="I177" s="55"/>
    </row>
    <row r="178" spans="7:9">
      <c r="G178" s="55"/>
      <c r="H178" s="55"/>
      <c r="I178" s="55"/>
    </row>
    <row r="179" spans="7:9">
      <c r="G179" s="55"/>
      <c r="H179" s="55"/>
      <c r="I179" s="55"/>
    </row>
    <row r="180" spans="7:9">
      <c r="G180" s="55"/>
      <c r="H180" s="55"/>
      <c r="I180" s="55"/>
    </row>
    <row r="181" spans="7:9">
      <c r="G181" s="55"/>
      <c r="H181" s="55"/>
      <c r="I181" s="55"/>
    </row>
    <row r="182" spans="7:9">
      <c r="G182" s="55"/>
      <c r="H182" s="55"/>
      <c r="I182" s="55"/>
    </row>
    <row r="183" spans="7:9">
      <c r="G183" s="55"/>
      <c r="H183" s="55"/>
      <c r="I183" s="55"/>
    </row>
    <row r="184" spans="7:9">
      <c r="G184" s="55"/>
      <c r="H184" s="55"/>
      <c r="I184" s="55"/>
    </row>
    <row r="185" spans="7:9">
      <c r="G185" s="55"/>
      <c r="H185" s="55"/>
      <c r="I185" s="55"/>
    </row>
    <row r="186" spans="7:9">
      <c r="G186" s="55"/>
      <c r="H186" s="55"/>
      <c r="I186" s="55"/>
    </row>
    <row r="187" spans="7:9">
      <c r="G187" s="55"/>
      <c r="H187" s="55"/>
      <c r="I187" s="55"/>
    </row>
    <row r="188" spans="7:9">
      <c r="G188" s="55"/>
      <c r="H188" s="55"/>
      <c r="I188" s="55"/>
    </row>
    <row r="189" spans="7:9">
      <c r="G189" s="55"/>
      <c r="H189" s="55"/>
      <c r="I189" s="55"/>
    </row>
    <row r="190" spans="7:9">
      <c r="G190" s="55"/>
      <c r="H190" s="55"/>
      <c r="I190" s="55"/>
    </row>
    <row r="191" spans="7:9">
      <c r="G191" s="55"/>
      <c r="H191" s="55"/>
      <c r="I191" s="55"/>
    </row>
    <row r="192" spans="7:9">
      <c r="G192" s="55"/>
      <c r="H192" s="55"/>
      <c r="I192" s="55"/>
    </row>
    <row r="193" spans="7:9">
      <c r="G193" s="55"/>
      <c r="H193" s="55"/>
      <c r="I193" s="55"/>
    </row>
    <row r="194" spans="7:9">
      <c r="G194" s="55"/>
      <c r="H194" s="55"/>
      <c r="I194" s="55"/>
    </row>
    <row r="195" spans="7:9">
      <c r="G195" s="55"/>
      <c r="H195" s="55"/>
      <c r="I195" s="55"/>
    </row>
    <row r="196" spans="7:9">
      <c r="G196" s="55"/>
      <c r="H196" s="55"/>
      <c r="I196" s="55"/>
    </row>
    <row r="197" spans="7:9">
      <c r="G197" s="55"/>
      <c r="H197" s="55"/>
      <c r="I197" s="55"/>
    </row>
    <row r="198" spans="7:9">
      <c r="G198" s="55"/>
      <c r="H198" s="55"/>
      <c r="I198" s="55"/>
    </row>
  </sheetData>
  <conditionalFormatting sqref="A1">
    <cfRule type="expression" dxfId="7" priority="3">
      <formula>ISNUMBER(SEARCH("Nhận nhà",$C11))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9AE6A3-E01E-458B-8E0F-2A7C304DFC50}">
            <xm:f>ISNUMBER(SEARCH("Nhận nhà",'4_NHANH_50'!$C11))</xm:f>
            <x14:dxf>
              <font>
                <b/>
                <i val="0"/>
              </font>
              <fill>
                <patternFill>
                  <bgColor rgb="FFE3E8E4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expression" priority="1" id="{452D638A-AD46-4DD7-91A7-44A37CD6ED2D}">
            <xm:f>$B11='1_PHIEU_TU_VAN'!$K$10</xm:f>
            <x14:dxf>
              <font>
                <b/>
                <i val="0"/>
              </font>
              <fill>
                <patternFill>
                  <bgColor rgb="FFE3E8D4"/>
                </patternFill>
              </fill>
            </x14:dxf>
          </x14:cfRule>
          <xm:sqref>A11:J16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showGridLines="0" workbookViewId="0">
      <selection activeCell="F23" sqref="F23"/>
    </sheetView>
  </sheetViews>
  <sheetFormatPr defaultRowHeight="14"/>
  <cols>
    <col min="1" max="2" width="11.25" customWidth="1"/>
    <col min="3" max="3" width="15.83203125" customWidth="1"/>
    <col min="4" max="4" width="9.58203125" customWidth="1"/>
    <col min="5" max="5" width="13.08203125" customWidth="1"/>
    <col min="6" max="6" width="17.5" customWidth="1"/>
    <col min="7" max="7" width="12.5" customWidth="1"/>
    <col min="8" max="8" width="24" customWidth="1"/>
  </cols>
  <sheetData>
    <row r="1" spans="1:8" ht="18.5">
      <c r="A1" s="1" t="s">
        <v>62</v>
      </c>
      <c r="B1" s="1"/>
      <c r="C1" s="1"/>
      <c r="D1" s="1"/>
      <c r="E1" s="1"/>
      <c r="F1" s="1"/>
      <c r="G1" s="1"/>
      <c r="H1" s="1"/>
    </row>
    <row r="3" spans="1:8">
      <c r="A3" s="10" t="s">
        <v>40</v>
      </c>
      <c r="B3" s="64" t="str">
        <f>'1_PHIEU_TU_VAN'!B7</f>
        <v>2PN</v>
      </c>
      <c r="C3" s="10" t="s">
        <v>41</v>
      </c>
      <c r="D3" s="66">
        <f>IF('1_PHIEU_TU_VAN'!K7="Có",'8_THAM_SO'!$B$16,0)</f>
        <v>0.03</v>
      </c>
      <c r="F3" s="12" t="s">
        <v>42</v>
      </c>
      <c r="G3" s="48">
        <f>'1_PHIEU_TU_VAN'!F7*1000000000</f>
        <v>8900000000</v>
      </c>
    </row>
    <row r="4" spans="1:8">
      <c r="A4" s="60" t="s">
        <v>43</v>
      </c>
      <c r="B4" s="64">
        <f>'1_PHIEU_TU_VAN'!B9</f>
        <v>74.709999999999994</v>
      </c>
      <c r="C4" s="10" t="s">
        <v>26</v>
      </c>
      <c r="D4" s="66">
        <f>INDEX('8_THAM_SO'!$B$4:$B$9,MATCH("Nhanh 70",'8_THAM_SO'!$A$4:$A$9,0))</f>
        <v>0.06</v>
      </c>
      <c r="F4" s="10" t="s">
        <v>44</v>
      </c>
      <c r="G4" s="48">
        <f>G3*(1-D3)*(1-D4)*(1-D5)</f>
        <v>8115020000</v>
      </c>
    </row>
    <row r="5" spans="1:8">
      <c r="A5" s="60" t="s">
        <v>45</v>
      </c>
      <c r="B5" s="64">
        <f>'1_PHIEU_TU_VAN'!B8</f>
        <v>65.760000000000005</v>
      </c>
      <c r="C5" s="12" t="s">
        <v>46</v>
      </c>
      <c r="D5" s="66">
        <f>IF('1_PHIEU_TU_VAN'!B11&gt;=5,'8_THAM_SO'!$B$19,IF('1_PHIEU_TU_VAN'!B11&gt;=3,'8_THAM_SO'!$B$18,IF('1_PHIEU_TU_VAN'!B11=2,'8_THAM_SO'!$B$17,0)))</f>
        <v>0</v>
      </c>
      <c r="F5" s="12" t="s">
        <v>47</v>
      </c>
      <c r="G5" s="48">
        <f>G4*(1+'8_THAM_SO'!$B$14)</f>
        <v>8926522000</v>
      </c>
    </row>
    <row r="6" spans="1:8">
      <c r="C6" s="12" t="s">
        <v>27</v>
      </c>
      <c r="D6" s="66">
        <f>1-(1-D3)*(1-D4)*(1-D5)</f>
        <v>8.8200000000000056E-2</v>
      </c>
    </row>
    <row r="9" spans="1:8">
      <c r="A9" s="33" t="s">
        <v>48</v>
      </c>
      <c r="B9" s="33" t="s">
        <v>49</v>
      </c>
      <c r="C9" s="33" t="s">
        <v>50</v>
      </c>
      <c r="D9" s="33" t="s">
        <v>63</v>
      </c>
      <c r="E9" s="33" t="s">
        <v>64</v>
      </c>
      <c r="F9" s="33" t="s">
        <v>56</v>
      </c>
      <c r="G9" s="33" t="s">
        <v>65</v>
      </c>
      <c r="H9" s="33" t="s">
        <v>57</v>
      </c>
    </row>
    <row r="10" spans="1:8">
      <c r="A10" s="41"/>
      <c r="B10" s="42">
        <f>'1_PHIEU_TU_VAN'!$K$9-7</f>
        <v>46288</v>
      </c>
      <c r="C10" s="41" t="s">
        <v>58</v>
      </c>
      <c r="D10" s="41"/>
      <c r="E10" s="49">
        <f>'8_THAM_SO'!$B$13</f>
        <v>100000000</v>
      </c>
      <c r="F10" s="49">
        <f>E10</f>
        <v>100000000</v>
      </c>
      <c r="G10" s="41"/>
      <c r="H10" s="43"/>
    </row>
    <row r="11" spans="1:8">
      <c r="A11" s="71" t="str">
        <f>IF(B11="","","Đợt "&amp;COUNT($B$11:B11))</f>
        <v>Đợt 1</v>
      </c>
      <c r="B11" s="74">
        <f>'1_PHIEU_TU_VAN'!$K$9</f>
        <v>46295</v>
      </c>
      <c r="C11" s="71" t="str">
        <f>IF(B11="","",IF(B11='1_PHIEU_TU_VAN'!$K$9,"Ký HĐMB",IF(B11='1_PHIEU_TU_VAN'!$K$10,"Nhận nhà dự kiến","Sau 01 tháng")))</f>
        <v>Ký HĐMB</v>
      </c>
      <c r="D11" s="72">
        <f>IF(B11="","",IF(B11='1_PHIEU_TU_VAN'!$K$10,MAX(0,'8_THAM_SO'!$C$8-0),30%))</f>
        <v>0.3</v>
      </c>
      <c r="E11" s="75">
        <f>IF(D11="","",$G$5*D11)</f>
        <v>2677956600</v>
      </c>
      <c r="F11" s="75">
        <f>IF(G11="","",$G$5*G11)</f>
        <v>2677956600</v>
      </c>
      <c r="G11" s="72">
        <f>IF(D11="","",0+D11)</f>
        <v>0.3</v>
      </c>
      <c r="H11" s="73" t="str">
        <f>IF(B11="","",IF(B11='1_PHIEU_TU_VAN'!$K$9,"Đã bao gồm 100 triệu đặt cọc",IF(B11='1_PHIEU_TU_VAN'!$K$10,"Mốc nhận nhà dự kiến","")))</f>
        <v>Đã bao gồm 100 triệu đặt cọc</v>
      </c>
    </row>
    <row r="12" spans="1:8">
      <c r="A12" s="71" t="str">
        <f>IF(B12="","","Đợt "&amp;COUNT($B$11:B12))</f>
        <v>Đợt 2</v>
      </c>
      <c r="B12" s="74">
        <f>IF($B11='1_PHIEU_TU_VAN'!$K$10,"",IF(AND($B11&lt;'1_PHIEU_TU_VAN'!$K$10,N($G11)&gt;=70%),'1_PHIEU_TU_VAN'!$K$10,MIN(EDATE('1_PHIEU_TU_VAN'!$K$9,1),'1_PHIEU_TU_VAN'!$K$10)))</f>
        <v>46325</v>
      </c>
      <c r="C12" s="71" t="str">
        <f>IF(B12="","",IF(B12='1_PHIEU_TU_VAN'!$K$9,"Ký HĐMB",IF(B12='1_PHIEU_TU_VAN'!$K$10,"Nhận nhà dự kiến","Sau 01 tháng")))</f>
        <v>Sau 01 tháng</v>
      </c>
      <c r="D12" s="72">
        <f>IF(B12="","",IF(B12='1_PHIEU_TU_VAN'!$K$10,MAX(0,'8_THAM_SO'!$C$8-N($G11)),40%))</f>
        <v>0.4</v>
      </c>
      <c r="E12" s="75">
        <f>IF(D12="","",$G$5*D12)</f>
        <v>3570608800</v>
      </c>
      <c r="F12" s="75">
        <f>IF(G12="","",$G$5*G12)</f>
        <v>6248565400</v>
      </c>
      <c r="G12" s="72">
        <f>IF(D12="","",N($G11)+D12)</f>
        <v>0.7</v>
      </c>
      <c r="H12" s="73" t="str">
        <f>IF(B12="","",IF(B12='1_PHIEU_TU_VAN'!$K$9,"Đã bao gồm 100 triệu đặt cọc",IF(B12='1_PHIEU_TU_VAN'!$K$10,"Mốc nhận nhà dự kiến","")))</f>
        <v/>
      </c>
    </row>
    <row r="13" spans="1:8">
      <c r="A13" s="71" t="str">
        <f>IF(B13="","","Đợt "&amp;COUNT($B$11:B13))</f>
        <v>Đợt 3</v>
      </c>
      <c r="B13" s="74">
        <f>IF($B12='1_PHIEU_TU_VAN'!$K$10,"",IF(AND($B12&lt;'1_PHIEU_TU_VAN'!$K$10,N($G12)&gt;=70%),'1_PHIEU_TU_VAN'!$K$10,MIN(EDATE('1_PHIEU_TU_VAN'!$K$9,2),'1_PHIEU_TU_VAN'!$K$10)))</f>
        <v>46568</v>
      </c>
      <c r="C13" s="71" t="str">
        <f>IF(B13="","",IF(B13='1_PHIEU_TU_VAN'!$K$9,"Ký HĐMB",IF(B13='1_PHIEU_TU_VAN'!$K$10,"Nhận nhà dự kiến","Sau 01 tháng")))</f>
        <v>Nhận nhà dự kiến</v>
      </c>
      <c r="D13" s="72">
        <f>IF(B13="","",IF(B13='1_PHIEU_TU_VAN'!$K$10,MAX(0,'8_THAM_SO'!$C$8-N($G12)),40%))</f>
        <v>0.25</v>
      </c>
      <c r="E13" s="75">
        <f>IF(D13="","",$G$5*D13)</f>
        <v>2231630500</v>
      </c>
      <c r="F13" s="75">
        <f>IF(G13="","",$G$5*G13)</f>
        <v>8480195900</v>
      </c>
      <c r="G13" s="72">
        <f>IF(D13="","",N($G12)+D13)</f>
        <v>0.95</v>
      </c>
      <c r="H13" s="73" t="str">
        <f>IF(B13="","",IF(B13='1_PHIEU_TU_VAN'!$K$9,"Đã bao gồm 100 triệu đặt cọc",IF(B13='1_PHIEU_TU_VAN'!$K$10,"Mốc nhận nhà dự kiến","")))</f>
        <v>Mốc nhận nhà dự kiến</v>
      </c>
    </row>
    <row r="14" spans="1:8">
      <c r="A14" s="44" t="str">
        <f>"Đợt "&amp;(COUNT($B$11:$B$13)+1)</f>
        <v>Đợt 4</v>
      </c>
      <c r="B14" s="45"/>
      <c r="C14" s="44" t="s">
        <v>59</v>
      </c>
      <c r="D14" s="36">
        <v>0.05</v>
      </c>
      <c r="E14" s="77">
        <f>$G$5*D14</f>
        <v>446326100</v>
      </c>
      <c r="F14" s="77">
        <f>$G$5*G14</f>
        <v>8926522000</v>
      </c>
      <c r="G14" s="36">
        <f>MAX(G11:G13)+D14</f>
        <v>1</v>
      </c>
      <c r="H14" s="46"/>
    </row>
    <row r="15" spans="1:8" ht="14.5">
      <c r="A15" s="2" t="s">
        <v>60</v>
      </c>
      <c r="B15" s="2"/>
      <c r="C15" s="2"/>
      <c r="D15" s="13">
        <f>SUM($D$11:$D$14)</f>
        <v>1</v>
      </c>
      <c r="E15" s="78">
        <f>SUM($E$11:$E$14)</f>
        <v>8926522000</v>
      </c>
      <c r="F15" s="78"/>
      <c r="G15" s="13"/>
      <c r="H15" s="2" t="s">
        <v>66</v>
      </c>
    </row>
    <row r="16" spans="1:8">
      <c r="E16" s="51"/>
      <c r="F16" s="51"/>
    </row>
    <row r="17" spans="5:6">
      <c r="E17" s="51"/>
      <c r="F17" s="51"/>
    </row>
    <row r="18" spans="5:6">
      <c r="E18" s="51"/>
      <c r="F18" s="51"/>
    </row>
    <row r="19" spans="5:6">
      <c r="E19" s="51"/>
      <c r="F19" s="51"/>
    </row>
    <row r="20" spans="5:6">
      <c r="E20" s="51"/>
      <c r="F20" s="51"/>
    </row>
    <row r="21" spans="5:6">
      <c r="E21" s="51"/>
      <c r="F21" s="51"/>
    </row>
    <row r="22" spans="5:6">
      <c r="E22" s="51"/>
      <c r="F22" s="51"/>
    </row>
    <row r="23" spans="5:6">
      <c r="E23" s="51"/>
      <c r="F23" s="51"/>
    </row>
    <row r="24" spans="5:6">
      <c r="E24" s="51"/>
      <c r="F24" s="51"/>
    </row>
    <row r="25" spans="5:6">
      <c r="E25" s="51"/>
      <c r="F25" s="51"/>
    </row>
    <row r="26" spans="5:6">
      <c r="E26" s="51"/>
      <c r="F26" s="51"/>
    </row>
    <row r="27" spans="5:6">
      <c r="E27" s="51"/>
      <c r="F27" s="51"/>
    </row>
    <row r="28" spans="5:6">
      <c r="E28" s="51"/>
      <c r="F28" s="51"/>
    </row>
    <row r="29" spans="5:6">
      <c r="E29" s="51"/>
      <c r="F29" s="51"/>
    </row>
    <row r="30" spans="5:6">
      <c r="E30" s="51"/>
      <c r="F30" s="51"/>
    </row>
    <row r="31" spans="5:6">
      <c r="E31" s="51"/>
      <c r="F31" s="51"/>
    </row>
    <row r="32" spans="5:6">
      <c r="E32" s="51"/>
      <c r="F32" s="51"/>
    </row>
    <row r="33" spans="5:6">
      <c r="E33" s="51"/>
      <c r="F33" s="51"/>
    </row>
    <row r="34" spans="5:6">
      <c r="E34" s="51"/>
      <c r="F34" s="51"/>
    </row>
    <row r="35" spans="5:6">
      <c r="E35" s="51"/>
      <c r="F35" s="51"/>
    </row>
    <row r="36" spans="5:6">
      <c r="E36" s="51"/>
      <c r="F36" s="51"/>
    </row>
    <row r="37" spans="5:6">
      <c r="E37" s="51"/>
      <c r="F37" s="51"/>
    </row>
    <row r="38" spans="5:6">
      <c r="E38" s="51"/>
      <c r="F38" s="51"/>
    </row>
    <row r="39" spans="5:6">
      <c r="E39" s="51"/>
      <c r="F39" s="51"/>
    </row>
    <row r="40" spans="5:6">
      <c r="E40" s="51"/>
      <c r="F40" s="51"/>
    </row>
    <row r="41" spans="5:6">
      <c r="E41" s="51"/>
      <c r="F41" s="51"/>
    </row>
    <row r="42" spans="5:6">
      <c r="E42" s="51"/>
      <c r="F42" s="51"/>
    </row>
    <row r="43" spans="5:6">
      <c r="E43" s="51"/>
      <c r="F43" s="51"/>
    </row>
    <row r="44" spans="5:6">
      <c r="E44" s="51"/>
      <c r="F44" s="51"/>
    </row>
    <row r="45" spans="5:6">
      <c r="E45" s="51"/>
      <c r="F45" s="51"/>
    </row>
    <row r="46" spans="5:6">
      <c r="E46" s="51"/>
      <c r="F46" s="51"/>
    </row>
    <row r="47" spans="5:6">
      <c r="E47" s="51"/>
      <c r="F47" s="51"/>
    </row>
    <row r="48" spans="5:6">
      <c r="E48" s="51"/>
      <c r="F48" s="51"/>
    </row>
    <row r="49" spans="5:6">
      <c r="E49" s="51"/>
      <c r="F49" s="51"/>
    </row>
    <row r="50" spans="5:6">
      <c r="E50" s="51"/>
      <c r="F50" s="51"/>
    </row>
    <row r="51" spans="5:6">
      <c r="E51" s="51"/>
      <c r="F51" s="51"/>
    </row>
    <row r="52" spans="5:6">
      <c r="E52" s="51"/>
      <c r="F52" s="51"/>
    </row>
    <row r="53" spans="5:6">
      <c r="E53" s="51"/>
      <c r="F53" s="51"/>
    </row>
    <row r="54" spans="5:6">
      <c r="E54" s="51"/>
      <c r="F54" s="51"/>
    </row>
    <row r="55" spans="5:6">
      <c r="E55" s="51"/>
      <c r="F55" s="51"/>
    </row>
    <row r="56" spans="5:6">
      <c r="E56" s="51"/>
      <c r="F56" s="51"/>
    </row>
    <row r="57" spans="5:6">
      <c r="E57" s="51"/>
      <c r="F57" s="51"/>
    </row>
    <row r="58" spans="5:6">
      <c r="E58" s="51"/>
      <c r="F58" s="51"/>
    </row>
    <row r="59" spans="5:6">
      <c r="E59" s="51"/>
      <c r="F59" s="51"/>
    </row>
    <row r="60" spans="5:6">
      <c r="E60" s="51"/>
      <c r="F60" s="51"/>
    </row>
    <row r="61" spans="5:6">
      <c r="E61" s="51"/>
      <c r="F61" s="51"/>
    </row>
    <row r="62" spans="5:6">
      <c r="E62" s="51"/>
      <c r="F62" s="51"/>
    </row>
    <row r="63" spans="5:6">
      <c r="E63" s="51"/>
      <c r="F63" s="51"/>
    </row>
    <row r="64" spans="5:6">
      <c r="E64" s="51"/>
      <c r="F64" s="51"/>
    </row>
    <row r="65" spans="5:6">
      <c r="E65" s="51"/>
      <c r="F65" s="51"/>
    </row>
    <row r="66" spans="5:6">
      <c r="E66" s="51"/>
      <c r="F66" s="51"/>
    </row>
    <row r="67" spans="5:6">
      <c r="E67" s="51"/>
      <c r="F67" s="51"/>
    </row>
    <row r="68" spans="5:6">
      <c r="E68" s="51"/>
      <c r="F68" s="51"/>
    </row>
    <row r="69" spans="5:6">
      <c r="E69" s="51"/>
      <c r="F69" s="51"/>
    </row>
    <row r="70" spans="5:6">
      <c r="E70" s="51"/>
      <c r="F70" s="51"/>
    </row>
    <row r="71" spans="5:6">
      <c r="E71" s="51"/>
      <c r="F71" s="51"/>
    </row>
    <row r="72" spans="5:6">
      <c r="E72" s="51"/>
      <c r="F72" s="51"/>
    </row>
    <row r="73" spans="5:6">
      <c r="E73" s="51"/>
      <c r="F73" s="51"/>
    </row>
    <row r="74" spans="5:6">
      <c r="E74" s="51"/>
      <c r="F74" s="51"/>
    </row>
    <row r="75" spans="5:6">
      <c r="E75" s="51"/>
      <c r="F75" s="51"/>
    </row>
    <row r="76" spans="5:6">
      <c r="E76" s="51"/>
      <c r="F76" s="51"/>
    </row>
    <row r="77" spans="5:6">
      <c r="E77" s="51"/>
      <c r="F77" s="51"/>
    </row>
    <row r="78" spans="5:6">
      <c r="E78" s="51"/>
      <c r="F78" s="51"/>
    </row>
    <row r="79" spans="5:6">
      <c r="E79" s="51"/>
      <c r="F79" s="51"/>
    </row>
    <row r="80" spans="5:6">
      <c r="E80" s="51"/>
      <c r="F80" s="51"/>
    </row>
    <row r="81" spans="5:6">
      <c r="E81" s="51"/>
      <c r="F81" s="51"/>
    </row>
    <row r="82" spans="5:6">
      <c r="E82" s="51"/>
      <c r="F82" s="51"/>
    </row>
    <row r="83" spans="5:6">
      <c r="E83" s="51"/>
      <c r="F83" s="51"/>
    </row>
    <row r="84" spans="5:6">
      <c r="E84" s="51"/>
      <c r="F84" s="51"/>
    </row>
    <row r="85" spans="5:6">
      <c r="E85" s="51"/>
      <c r="F85" s="51"/>
    </row>
    <row r="86" spans="5:6">
      <c r="E86" s="51"/>
      <c r="F86" s="51"/>
    </row>
    <row r="87" spans="5:6">
      <c r="E87" s="51"/>
      <c r="F87" s="51"/>
    </row>
    <row r="88" spans="5:6">
      <c r="E88" s="51"/>
      <c r="F88" s="51"/>
    </row>
    <row r="89" spans="5:6">
      <c r="E89" s="51"/>
      <c r="F89" s="51"/>
    </row>
    <row r="90" spans="5:6">
      <c r="E90" s="51"/>
      <c r="F90" s="51"/>
    </row>
    <row r="91" spans="5:6">
      <c r="E91" s="51"/>
      <c r="F91" s="51"/>
    </row>
    <row r="92" spans="5:6">
      <c r="E92" s="51"/>
      <c r="F92" s="51"/>
    </row>
    <row r="93" spans="5:6">
      <c r="E93" s="51"/>
      <c r="F93" s="51"/>
    </row>
    <row r="94" spans="5:6">
      <c r="E94" s="51"/>
      <c r="F94" s="51"/>
    </row>
    <row r="95" spans="5:6">
      <c r="E95" s="51"/>
      <c r="F95" s="51"/>
    </row>
    <row r="96" spans="5:6">
      <c r="E96" s="51"/>
      <c r="F96" s="51"/>
    </row>
    <row r="97" spans="5:6">
      <c r="E97" s="51"/>
      <c r="F97" s="51"/>
    </row>
    <row r="98" spans="5:6">
      <c r="E98" s="51"/>
      <c r="F98" s="51"/>
    </row>
    <row r="99" spans="5:6">
      <c r="E99" s="51"/>
      <c r="F99" s="51"/>
    </row>
    <row r="100" spans="5:6">
      <c r="E100" s="51"/>
      <c r="F100" s="51"/>
    </row>
    <row r="101" spans="5:6">
      <c r="E101" s="51"/>
      <c r="F101" s="51"/>
    </row>
    <row r="102" spans="5:6">
      <c r="E102" s="51"/>
      <c r="F102" s="51"/>
    </row>
    <row r="103" spans="5:6">
      <c r="E103" s="51"/>
      <c r="F103" s="51"/>
    </row>
    <row r="104" spans="5:6">
      <c r="E104" s="51"/>
      <c r="F104" s="51"/>
    </row>
    <row r="105" spans="5:6">
      <c r="E105" s="51"/>
      <c r="F105" s="51"/>
    </row>
    <row r="106" spans="5:6">
      <c r="E106" s="51"/>
      <c r="F106" s="51"/>
    </row>
    <row r="107" spans="5:6">
      <c r="E107" s="51"/>
      <c r="F107" s="51"/>
    </row>
    <row r="108" spans="5:6">
      <c r="E108" s="51"/>
      <c r="F108" s="51"/>
    </row>
    <row r="109" spans="5:6">
      <c r="E109" s="51"/>
      <c r="F109" s="51"/>
    </row>
    <row r="110" spans="5:6">
      <c r="E110" s="51"/>
      <c r="F110" s="51"/>
    </row>
    <row r="111" spans="5:6">
      <c r="E111" s="51"/>
      <c r="F111" s="51"/>
    </row>
    <row r="112" spans="5:6">
      <c r="E112" s="51"/>
      <c r="F112" s="51"/>
    </row>
    <row r="113" spans="5:6">
      <c r="E113" s="51"/>
      <c r="F113" s="51"/>
    </row>
    <row r="114" spans="5:6">
      <c r="E114" s="51"/>
      <c r="F114" s="51"/>
    </row>
    <row r="115" spans="5:6">
      <c r="E115" s="51"/>
      <c r="F115" s="51"/>
    </row>
    <row r="116" spans="5:6">
      <c r="E116" s="51"/>
      <c r="F116" s="51"/>
    </row>
    <row r="117" spans="5:6">
      <c r="E117" s="51"/>
      <c r="F117" s="51"/>
    </row>
    <row r="118" spans="5:6">
      <c r="E118" s="51"/>
      <c r="F118" s="51"/>
    </row>
    <row r="119" spans="5:6">
      <c r="E119" s="51"/>
      <c r="F119" s="51"/>
    </row>
    <row r="120" spans="5:6">
      <c r="E120" s="51"/>
      <c r="F120" s="51"/>
    </row>
    <row r="121" spans="5:6">
      <c r="E121" s="51"/>
      <c r="F121" s="51"/>
    </row>
    <row r="122" spans="5:6">
      <c r="E122" s="51"/>
      <c r="F122" s="51"/>
    </row>
    <row r="123" spans="5:6">
      <c r="E123" s="51"/>
      <c r="F123" s="51"/>
    </row>
    <row r="124" spans="5:6">
      <c r="E124" s="51"/>
      <c r="F124" s="51"/>
    </row>
    <row r="125" spans="5:6">
      <c r="E125" s="51"/>
      <c r="F125" s="51"/>
    </row>
    <row r="126" spans="5:6">
      <c r="E126" s="51"/>
      <c r="F126" s="51"/>
    </row>
    <row r="127" spans="5:6">
      <c r="E127" s="51"/>
      <c r="F127" s="51"/>
    </row>
    <row r="128" spans="5:6">
      <c r="E128" s="51"/>
      <c r="F128" s="51"/>
    </row>
    <row r="129" spans="5:6">
      <c r="E129" s="51"/>
      <c r="F129" s="51"/>
    </row>
    <row r="130" spans="5:6">
      <c r="E130" s="51"/>
      <c r="F130" s="51"/>
    </row>
    <row r="131" spans="5:6">
      <c r="E131" s="51"/>
      <c r="F131" s="51"/>
    </row>
    <row r="132" spans="5:6">
      <c r="E132" s="51"/>
      <c r="F132" s="51"/>
    </row>
    <row r="133" spans="5:6">
      <c r="E133" s="51"/>
      <c r="F133" s="51"/>
    </row>
    <row r="134" spans="5:6">
      <c r="E134" s="51"/>
      <c r="F134" s="51"/>
    </row>
    <row r="135" spans="5:6">
      <c r="E135" s="51"/>
      <c r="F135" s="51"/>
    </row>
    <row r="136" spans="5:6">
      <c r="E136" s="51"/>
      <c r="F136" s="51"/>
    </row>
    <row r="137" spans="5:6">
      <c r="E137" s="51"/>
      <c r="F137" s="51"/>
    </row>
    <row r="138" spans="5:6">
      <c r="E138" s="51"/>
      <c r="F138" s="51"/>
    </row>
    <row r="139" spans="5:6">
      <c r="E139" s="51"/>
      <c r="F139" s="51"/>
    </row>
    <row r="140" spans="5:6">
      <c r="E140" s="51"/>
      <c r="F140" s="51"/>
    </row>
    <row r="141" spans="5:6">
      <c r="E141" s="51"/>
      <c r="F141" s="51"/>
    </row>
    <row r="142" spans="5:6">
      <c r="E142" s="51"/>
      <c r="F142" s="51"/>
    </row>
    <row r="143" spans="5:6">
      <c r="E143" s="51"/>
      <c r="F143" s="51"/>
    </row>
    <row r="144" spans="5:6">
      <c r="E144" s="51"/>
      <c r="F144" s="51"/>
    </row>
    <row r="145" spans="5:6">
      <c r="E145" s="51"/>
      <c r="F145" s="51"/>
    </row>
    <row r="146" spans="5:6">
      <c r="E146" s="51"/>
      <c r="F146" s="51"/>
    </row>
    <row r="147" spans="5:6">
      <c r="E147" s="51"/>
      <c r="F147" s="51"/>
    </row>
    <row r="148" spans="5:6">
      <c r="E148" s="51"/>
      <c r="F148" s="51"/>
    </row>
    <row r="149" spans="5:6">
      <c r="E149" s="51"/>
      <c r="F149" s="51"/>
    </row>
    <row r="150" spans="5:6">
      <c r="E150" s="51"/>
      <c r="F150" s="51"/>
    </row>
    <row r="151" spans="5:6">
      <c r="E151" s="51"/>
      <c r="F151" s="51"/>
    </row>
    <row r="152" spans="5:6">
      <c r="E152" s="51"/>
      <c r="F152" s="51"/>
    </row>
    <row r="153" spans="5:6">
      <c r="E153" s="51"/>
      <c r="F153" s="51"/>
    </row>
    <row r="154" spans="5:6">
      <c r="E154" s="51"/>
      <c r="F154" s="51"/>
    </row>
    <row r="155" spans="5:6">
      <c r="E155" s="51"/>
      <c r="F155" s="51"/>
    </row>
    <row r="156" spans="5:6">
      <c r="E156" s="51"/>
      <c r="F156" s="51"/>
    </row>
    <row r="157" spans="5:6">
      <c r="E157" s="51"/>
      <c r="F157" s="51"/>
    </row>
    <row r="158" spans="5:6">
      <c r="E158" s="51"/>
      <c r="F158" s="51"/>
    </row>
    <row r="159" spans="5:6">
      <c r="E159" s="51"/>
      <c r="F159" s="51"/>
    </row>
    <row r="160" spans="5:6">
      <c r="E160" s="51"/>
      <c r="F160" s="51"/>
    </row>
    <row r="161" spans="5:6">
      <c r="E161" s="51"/>
      <c r="F161" s="51"/>
    </row>
    <row r="162" spans="5:6">
      <c r="E162" s="51"/>
      <c r="F162" s="51"/>
    </row>
    <row r="163" spans="5:6">
      <c r="E163" s="51"/>
      <c r="F163" s="51"/>
    </row>
    <row r="164" spans="5:6">
      <c r="E164" s="51"/>
      <c r="F164" s="51"/>
    </row>
    <row r="165" spans="5:6">
      <c r="E165" s="51"/>
      <c r="F165" s="51"/>
    </row>
    <row r="166" spans="5:6">
      <c r="E166" s="51"/>
      <c r="F166" s="51"/>
    </row>
    <row r="167" spans="5:6">
      <c r="E167" s="51"/>
      <c r="F167" s="51"/>
    </row>
    <row r="168" spans="5:6">
      <c r="E168" s="51"/>
      <c r="F168" s="51"/>
    </row>
    <row r="169" spans="5:6">
      <c r="E169" s="51"/>
      <c r="F169" s="51"/>
    </row>
    <row r="170" spans="5:6">
      <c r="E170" s="51"/>
      <c r="F170" s="51"/>
    </row>
    <row r="171" spans="5:6">
      <c r="E171" s="51"/>
      <c r="F171" s="51"/>
    </row>
    <row r="172" spans="5:6">
      <c r="E172" s="51"/>
      <c r="F172" s="51"/>
    </row>
    <row r="173" spans="5:6">
      <c r="E173" s="51"/>
      <c r="F173" s="51"/>
    </row>
    <row r="174" spans="5:6">
      <c r="E174" s="51"/>
      <c r="F174" s="51"/>
    </row>
    <row r="175" spans="5:6">
      <c r="E175" s="51"/>
      <c r="F175" s="51"/>
    </row>
    <row r="176" spans="5:6">
      <c r="E176" s="51"/>
      <c r="F176" s="51"/>
    </row>
    <row r="177" spans="5:6">
      <c r="E177" s="51"/>
      <c r="F177" s="51"/>
    </row>
    <row r="178" spans="5:6">
      <c r="E178" s="51"/>
      <c r="F178" s="51"/>
    </row>
    <row r="179" spans="5:6">
      <c r="E179" s="51"/>
      <c r="F179" s="51"/>
    </row>
    <row r="180" spans="5:6">
      <c r="E180" s="51"/>
      <c r="F180" s="51"/>
    </row>
    <row r="181" spans="5:6">
      <c r="E181" s="51"/>
      <c r="F181" s="51"/>
    </row>
    <row r="182" spans="5:6">
      <c r="E182" s="51"/>
      <c r="F182" s="51"/>
    </row>
    <row r="183" spans="5:6">
      <c r="E183" s="51"/>
      <c r="F183" s="51"/>
    </row>
    <row r="184" spans="5:6">
      <c r="E184" s="51"/>
      <c r="F184" s="51"/>
    </row>
    <row r="185" spans="5:6">
      <c r="E185" s="51"/>
      <c r="F185" s="51"/>
    </row>
    <row r="186" spans="5:6">
      <c r="E186" s="51"/>
      <c r="F186" s="51"/>
    </row>
    <row r="187" spans="5:6">
      <c r="E187" s="51"/>
      <c r="F187" s="51"/>
    </row>
    <row r="188" spans="5:6">
      <c r="E188" s="51"/>
      <c r="F188" s="51"/>
    </row>
    <row r="189" spans="5:6">
      <c r="E189" s="51"/>
      <c r="F189" s="51"/>
    </row>
    <row r="190" spans="5:6">
      <c r="E190" s="51"/>
      <c r="F190" s="51"/>
    </row>
    <row r="191" spans="5:6">
      <c r="E191" s="51"/>
      <c r="F191" s="51"/>
    </row>
    <row r="192" spans="5:6">
      <c r="E192" s="51"/>
      <c r="F192" s="51"/>
    </row>
    <row r="193" spans="5:6">
      <c r="E193" s="51"/>
      <c r="F193" s="51"/>
    </row>
    <row r="194" spans="5:6">
      <c r="E194" s="51"/>
      <c r="F194" s="51"/>
    </row>
    <row r="195" spans="5:6">
      <c r="E195" s="51"/>
      <c r="F195" s="51"/>
    </row>
    <row r="196" spans="5:6">
      <c r="E196" s="51"/>
      <c r="F196" s="51"/>
    </row>
    <row r="197" spans="5:6">
      <c r="E197" s="51"/>
      <c r="F197" s="51"/>
    </row>
    <row r="198" spans="5:6">
      <c r="E198" s="51"/>
      <c r="F198" s="51"/>
    </row>
    <row r="199" spans="5:6">
      <c r="E199" s="51"/>
      <c r="F199" s="51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200-000001000000}">
            <xm:f>$B11='1_PHIEU_TU_VAN'!$K$10</xm:f>
            <x14:dxf>
              <font>
                <b/>
                <color rgb="FF4F5F2D"/>
              </font>
              <fill>
                <patternFill>
                  <bgColor rgb="FFE3E8D4"/>
                </patternFill>
              </fill>
            </x14:dxf>
          </x14:cfRule>
          <xm:sqref>A11:H14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showGridLines="0" workbookViewId="0">
      <selection activeCell="E20" sqref="E20"/>
    </sheetView>
  </sheetViews>
  <sheetFormatPr defaultColWidth="8.75" defaultRowHeight="14"/>
  <cols>
    <col min="1" max="1" width="11" style="15" customWidth="1"/>
    <col min="2" max="2" width="15" style="15" customWidth="1"/>
    <col min="3" max="3" width="25" style="15" customWidth="1"/>
    <col min="4" max="4" width="12" style="15" customWidth="1"/>
    <col min="5" max="5" width="18" style="15" customWidth="1"/>
    <col min="6" max="6" width="20" style="15" customWidth="1"/>
    <col min="7" max="7" width="14" style="15" customWidth="1"/>
    <col min="8" max="8" width="24" style="15" customWidth="1"/>
    <col min="9" max="16384" width="8.75" style="15"/>
  </cols>
  <sheetData>
    <row r="1" spans="1:8" ht="18.5">
      <c r="A1" s="52" t="s">
        <v>67</v>
      </c>
      <c r="B1" s="52"/>
      <c r="C1" s="52"/>
      <c r="D1" s="52"/>
      <c r="E1" s="52"/>
      <c r="F1" s="52"/>
      <c r="G1" s="52"/>
      <c r="H1" s="52"/>
    </row>
    <row r="3" spans="1:8">
      <c r="A3" s="53" t="s">
        <v>40</v>
      </c>
      <c r="B3" s="64" t="str">
        <f>'1_PHIEU_TU_VAN'!B7</f>
        <v>2PN</v>
      </c>
      <c r="C3" s="53" t="s">
        <v>41</v>
      </c>
      <c r="D3" s="63">
        <f>IF('1_PHIEU_TU_VAN'!K7="Có",'8_THAM_SO'!$B$16,0)</f>
        <v>0.03</v>
      </c>
      <c r="F3" s="54" t="s">
        <v>42</v>
      </c>
      <c r="G3" s="50">
        <f>'1_PHIEU_TU_VAN'!F7*1000000000</f>
        <v>8900000000</v>
      </c>
    </row>
    <row r="4" spans="1:8">
      <c r="A4" s="60" t="s">
        <v>43</v>
      </c>
      <c r="B4" s="64">
        <f>'1_PHIEU_TU_VAN'!B9</f>
        <v>74.709999999999994</v>
      </c>
      <c r="C4" s="53" t="s">
        <v>26</v>
      </c>
      <c r="D4" s="63">
        <f>INDEX('8_THAM_SO'!$B$4:$B$9,MATCH("Nhanh 50",'8_THAM_SO'!$A$4:$A$9,0))</f>
        <v>0.05</v>
      </c>
      <c r="F4" s="53" t="s">
        <v>44</v>
      </c>
      <c r="G4" s="50">
        <f>G3*(1-D3)*(1-D4)*(1-D5)</f>
        <v>8201350000</v>
      </c>
    </row>
    <row r="5" spans="1:8">
      <c r="A5" s="60" t="s">
        <v>45</v>
      </c>
      <c r="B5" s="64">
        <f>'1_PHIEU_TU_VAN'!B8</f>
        <v>65.760000000000005</v>
      </c>
      <c r="C5" s="54" t="s">
        <v>46</v>
      </c>
      <c r="D5" s="63">
        <f>IF('1_PHIEU_TU_VAN'!B11&gt;=5,'8_THAM_SO'!$B$19,IF('1_PHIEU_TU_VAN'!B11&gt;=3,'8_THAM_SO'!$B$18,IF('1_PHIEU_TU_VAN'!B11=2,'8_THAM_SO'!$B$17,0)))</f>
        <v>0</v>
      </c>
      <c r="F5" s="54" t="s">
        <v>47</v>
      </c>
      <c r="G5" s="50">
        <f>G4*(1+'8_THAM_SO'!$B$14)</f>
        <v>9021485000</v>
      </c>
    </row>
    <row r="6" spans="1:8">
      <c r="C6" s="54" t="s">
        <v>27</v>
      </c>
      <c r="D6" s="63">
        <f>1-(1-D3)*(1-D4)*(1-D5)</f>
        <v>7.8500000000000014E-2</v>
      </c>
    </row>
    <row r="9" spans="1:8">
      <c r="A9" s="34" t="s">
        <v>48</v>
      </c>
      <c r="B9" s="34" t="s">
        <v>49</v>
      </c>
      <c r="C9" s="34" t="s">
        <v>50</v>
      </c>
      <c r="D9" s="34" t="s">
        <v>63</v>
      </c>
      <c r="E9" s="34" t="s">
        <v>64</v>
      </c>
      <c r="F9" s="34" t="s">
        <v>56</v>
      </c>
      <c r="G9" s="34" t="s">
        <v>65</v>
      </c>
      <c r="H9" s="34" t="s">
        <v>57</v>
      </c>
    </row>
    <row r="10" spans="1:8">
      <c r="A10" s="41"/>
      <c r="B10" s="42">
        <f>'1_PHIEU_TU_VAN'!$K$9-7</f>
        <v>46288</v>
      </c>
      <c r="C10" s="41" t="s">
        <v>58</v>
      </c>
      <c r="D10" s="41"/>
      <c r="E10" s="49">
        <f>'8_THAM_SO'!$B$13</f>
        <v>100000000</v>
      </c>
      <c r="F10" s="49">
        <f>E10</f>
        <v>100000000</v>
      </c>
      <c r="G10" s="41"/>
      <c r="H10" s="43"/>
    </row>
    <row r="11" spans="1:8">
      <c r="A11" s="71" t="str">
        <f>IF(B11="","","Đợt "&amp;COUNT($B$11:B11))</f>
        <v>Đợt 1</v>
      </c>
      <c r="B11" s="74">
        <f>'1_PHIEU_TU_VAN'!$K$9</f>
        <v>46295</v>
      </c>
      <c r="C11" s="71" t="str">
        <f>IF(B11="","",IF(B11='1_PHIEU_TU_VAN'!$K$9,"Ký HĐMB",IF(B11='1_PHIEU_TU_VAN'!$K$10,"Nhận nhà dự kiến",IF(B11&gt;'1_PHIEU_TU_VAN'!$K$10,"Sau nhận nhà","Sau 00 tháng"))))</f>
        <v>Ký HĐMB</v>
      </c>
      <c r="D11" s="72">
        <f>IF(B11="","",IF(B11='1_PHIEU_TU_VAN'!$K$10,MAX(0,'8_THAM_SO'!$C$7-0),30%))</f>
        <v>0.3</v>
      </c>
      <c r="E11" s="75">
        <f t="shared" ref="E11:E17" si="0">IF(B11="","",$G$5*N(D11))</f>
        <v>2706445500</v>
      </c>
      <c r="F11" s="75">
        <f>IF(B11="","",$G$5*G11)</f>
        <v>2706445500</v>
      </c>
      <c r="G11" s="72">
        <f>IF(B11="","",0+N(D11))</f>
        <v>0.3</v>
      </c>
      <c r="H11" s="73" t="str">
        <f>IF(B11="","",IF(B11='1_PHIEU_TU_VAN'!$K$9,"Đã bao gồm 100 triệu đặt cọc",IF(B11='1_PHIEU_TU_VAN'!$K$10,"Mốc nhận nhà dự kiến",IF(B11&gt;'1_PHIEU_TU_VAN'!$K$10,"25% sau nhận nhà",""))))</f>
        <v>Đã bao gồm 100 triệu đặt cọc</v>
      </c>
    </row>
    <row r="12" spans="1:8">
      <c r="A12" s="71" t="str">
        <f>IF(B12="","","Đợt "&amp;COUNT($B$11:B12))</f>
        <v>Đợt 2</v>
      </c>
      <c r="B12" s="74">
        <f>IF(N($G11)&gt;=95%,"",MIN(EDATE('1_PHIEU_TU_VAN'!$K$9,1),'1_PHIEU_TU_VAN'!$K$10))</f>
        <v>46325</v>
      </c>
      <c r="C12" s="71" t="str">
        <f>IF(B12="","",IF(B12='1_PHIEU_TU_VAN'!$K$9,"Ký HĐMB",IF(B12='1_PHIEU_TU_VAN'!$K$10,"Nhận nhà dự kiến",IF(B12&gt;'1_PHIEU_TU_VAN'!$K$10,"Sau nhận nhà","Sau 01 tháng"))))</f>
        <v>Sau 01 tháng</v>
      </c>
      <c r="D12" s="72">
        <f>IF(B12="","",IF(B12='1_PHIEU_TU_VAN'!$K$10,MAX(0,'8_THAM_SO'!$C$7-N($G11)),20%))</f>
        <v>0.2</v>
      </c>
      <c r="E12" s="75">
        <f t="shared" si="0"/>
        <v>1804297000</v>
      </c>
      <c r="F12" s="75">
        <f>IF(B12="","",$G$5*G12)</f>
        <v>4510742500</v>
      </c>
      <c r="G12" s="72">
        <f t="shared" ref="G12:G17" si="1">IF(B12="","",N($G11)+N(D12))</f>
        <v>0.5</v>
      </c>
      <c r="H12" s="73" t="str">
        <f>IF(B12="","",IF(B12='1_PHIEU_TU_VAN'!$K$9,"Đã bao gồm 100 triệu đặt cọc",IF(B12='1_PHIEU_TU_VAN'!$K$10,"Mốc nhận nhà dự kiến",IF(B12&gt;'1_PHIEU_TU_VAN'!$K$10,"25% sau nhận nhà",""))))</f>
        <v/>
      </c>
    </row>
    <row r="13" spans="1:8">
      <c r="A13" s="71" t="str">
        <f>IF(B13="","","Đợt "&amp;COUNT($B$11:B13))</f>
        <v>Đợt 3</v>
      </c>
      <c r="B13" s="74">
        <f>IF(N($G12)&gt;=95%,"",MIN(EDATE('1_PHIEU_TU_VAN'!$K$9,2),'1_PHIEU_TU_VAN'!$K$10))</f>
        <v>46356</v>
      </c>
      <c r="C13" s="71" t="str">
        <f>IF(B13="","",IF(B13='1_PHIEU_TU_VAN'!$K$9,"Ký HĐMB",IF(B13='1_PHIEU_TU_VAN'!$K$10,"Nhận nhà dự kiến",IF(B13&gt;'1_PHIEU_TU_VAN'!$K$10,"Sau nhận nhà","Sau 02 tháng"))))</f>
        <v>Sau 02 tháng</v>
      </c>
      <c r="D13" s="72">
        <f>IF(B13="","",IF(B13='1_PHIEU_TU_VAN'!$K$10,MAX(0,'8_THAM_SO'!$C$7-N($G12)),5%))</f>
        <v>0.05</v>
      </c>
      <c r="E13" s="75">
        <f t="shared" si="0"/>
        <v>451074250</v>
      </c>
      <c r="F13" s="75">
        <f t="shared" ref="F13:F17" si="2">IF(B13="","",$G$5*G13)</f>
        <v>4961816750</v>
      </c>
      <c r="G13" s="72">
        <f t="shared" si="1"/>
        <v>0.55000000000000004</v>
      </c>
      <c r="H13" s="73" t="str">
        <f>IF(B13="","",IF(B13='1_PHIEU_TU_VAN'!$K$9,"Đã bao gồm 100 triệu đặt cọc",IF(B13='1_PHIEU_TU_VAN'!$K$10,"Mốc nhận nhà dự kiến",IF(B13&gt;'1_PHIEU_TU_VAN'!$K$10,"25% sau nhận nhà",""))))</f>
        <v/>
      </c>
    </row>
    <row r="14" spans="1:8">
      <c r="A14" s="71" t="str">
        <f>IF(B14="","","Đợt "&amp;COUNT($B$11:B14))</f>
        <v>Đợt 4</v>
      </c>
      <c r="B14" s="74">
        <f>IF(N($G13)&gt;=95%,"",MIN(EDATE('1_PHIEU_TU_VAN'!$K$9,3),'1_PHIEU_TU_VAN'!$K$10))</f>
        <v>46386</v>
      </c>
      <c r="C14" s="71" t="str">
        <f>IF(B14="","",IF(B14='1_PHIEU_TU_VAN'!$K$9,"Ký HĐMB",IF(B14='1_PHIEU_TU_VAN'!$K$10,"Nhận nhà dự kiến",IF(B14&gt;'1_PHIEU_TU_VAN'!$K$10,"Sau nhận nhà","Sau 03 tháng"))))</f>
        <v>Sau 03 tháng</v>
      </c>
      <c r="D14" s="72">
        <f>IF(B14="","",IF(B14='1_PHIEU_TU_VAN'!$K$10,MAX(0,'8_THAM_SO'!$C$7-N($G13)),5%))</f>
        <v>0.05</v>
      </c>
      <c r="E14" s="75">
        <f t="shared" si="0"/>
        <v>451074250</v>
      </c>
      <c r="F14" s="75">
        <f t="shared" si="2"/>
        <v>5412891000.000001</v>
      </c>
      <c r="G14" s="72">
        <f t="shared" si="1"/>
        <v>0.60000000000000009</v>
      </c>
      <c r="H14" s="73" t="str">
        <f>IF(B14="","",IF(B14='1_PHIEU_TU_VAN'!$K$9,"Đã bao gồm 100 triệu đặt cọc",IF(B14='1_PHIEU_TU_VAN'!$K$10,"Mốc nhận nhà dự kiến",IF(B14&gt;'1_PHIEU_TU_VAN'!$K$10,"25% sau nhận nhà",""))))</f>
        <v/>
      </c>
    </row>
    <row r="15" spans="1:8">
      <c r="A15" s="71" t="str">
        <f>IF(B15="","","Đợt "&amp;COUNT($B$11:B15))</f>
        <v>Đợt 5</v>
      </c>
      <c r="B15" s="74">
        <f>IF(N($G14)&gt;=95%,"",MIN(EDATE('1_PHIEU_TU_VAN'!$K$9,4),'1_PHIEU_TU_VAN'!$K$10))</f>
        <v>46417</v>
      </c>
      <c r="C15" s="71" t="str">
        <f>IF(B15="","",IF(B15='1_PHIEU_TU_VAN'!$K$9,"Ký HĐMB",IF(B15='1_PHIEU_TU_VAN'!$K$10,"Nhận nhà dự kiến",IF(B15&gt;'1_PHIEU_TU_VAN'!$K$10,"Sau nhận nhà","Sau 04 tháng"))))</f>
        <v>Sau 04 tháng</v>
      </c>
      <c r="D15" s="72">
        <f>IF(B15="","",IF(B15='1_PHIEU_TU_VAN'!$K$10,MAX(0,'8_THAM_SO'!$C$7-N($G14)),5%))</f>
        <v>0.05</v>
      </c>
      <c r="E15" s="75">
        <f t="shared" si="0"/>
        <v>451074250</v>
      </c>
      <c r="F15" s="75">
        <f t="shared" si="2"/>
        <v>5863965250.000001</v>
      </c>
      <c r="G15" s="72">
        <f t="shared" si="1"/>
        <v>0.65000000000000013</v>
      </c>
      <c r="H15" s="73" t="str">
        <f>IF(B15="","",IF(B15='1_PHIEU_TU_VAN'!$K$9,"Đã bao gồm 100 triệu đặt cọc",IF(B15='1_PHIEU_TU_VAN'!$K$10,"Mốc nhận nhà dự kiến",IF(B15&gt;'1_PHIEU_TU_VAN'!$K$10,"25% sau nhận nhà",""))))</f>
        <v/>
      </c>
    </row>
    <row r="16" spans="1:8">
      <c r="A16" s="71" t="str">
        <f>IF(B16="","","Đợt "&amp;COUNT($B$11:B16))</f>
        <v>Đợt 6</v>
      </c>
      <c r="B16" s="74">
        <f>IF(N($G15)&gt;=95%,"",MIN(EDATE('1_PHIEU_TU_VAN'!$K$9,5),'1_PHIEU_TU_VAN'!$K$10))</f>
        <v>46446</v>
      </c>
      <c r="C16" s="71" t="str">
        <f>IF(B16="","",IF(B16='1_PHIEU_TU_VAN'!$K$9,"Ký HĐMB",IF(B16='1_PHIEU_TU_VAN'!$K$10,"Nhận nhà dự kiến",IF(B16&gt;'1_PHIEU_TU_VAN'!$K$10,"Sau nhận nhà","Sau 05 tháng"))))</f>
        <v>Sau 05 tháng</v>
      </c>
      <c r="D16" s="72">
        <f>IF(B16="","",IF(B16='1_PHIEU_TU_VAN'!$K$10,MAX(0,'8_THAM_SO'!$C$7-N($G15)),5%))</f>
        <v>0.05</v>
      </c>
      <c r="E16" s="75">
        <f t="shared" si="0"/>
        <v>451074250</v>
      </c>
      <c r="F16" s="75">
        <f t="shared" si="2"/>
        <v>6315039500.0000019</v>
      </c>
      <c r="G16" s="72">
        <f t="shared" si="1"/>
        <v>0.70000000000000018</v>
      </c>
      <c r="H16" s="73" t="str">
        <f>IF(B16="","",IF(B16='1_PHIEU_TU_VAN'!$K$9,"Đã bao gồm 100 triệu đặt cọc",IF(B16='1_PHIEU_TU_VAN'!$K$10,"Mốc nhận nhà dự kiến",IF(B16&gt;'1_PHIEU_TU_VAN'!$K$10,"25% sau nhận nhà",""))))</f>
        <v/>
      </c>
    </row>
    <row r="17" spans="1:8">
      <c r="A17" s="71" t="str">
        <f>IF(B17="","","Đợt "&amp;COUNT($B$11:B17))</f>
        <v>Đợt 7</v>
      </c>
      <c r="B17" s="74">
        <f>IF(N($G16)&gt;=95%,"",'1_PHIEU_TU_VAN'!$K$10)</f>
        <v>46568</v>
      </c>
      <c r="C17" s="71" t="str">
        <f>IF(B17="","",IF(B17='1_PHIEU_TU_VAN'!$K$9,"Ký HĐMB",IF(B17='1_PHIEU_TU_VAN'!$K$10,"Nhận nhà dự kiến",IF(B17&gt;'1_PHIEU_TU_VAN'!$K$10,"Sau nhận nhà","Sau 06 tháng"))))</f>
        <v>Nhận nhà dự kiến</v>
      </c>
      <c r="D17" s="72">
        <f>IF(B17="","",IF(B17='1_PHIEU_TU_VAN'!$K$10,MAX(0,'8_THAM_SO'!$C$7-N($G16)),0))</f>
        <v>0.24999999999999978</v>
      </c>
      <c r="E17" s="75">
        <f t="shared" si="0"/>
        <v>2255371249.9999981</v>
      </c>
      <c r="F17" s="75">
        <f t="shared" si="2"/>
        <v>8570410750</v>
      </c>
      <c r="G17" s="72">
        <f t="shared" si="1"/>
        <v>0.95</v>
      </c>
      <c r="H17" s="73" t="str">
        <f>IF(B17="","",IF(B17='1_PHIEU_TU_VAN'!$K$9,"Đã bao gồm 100 triệu đặt cọc",IF(B17='1_PHIEU_TU_VAN'!$K$10,"Mốc nhận nhà dự kiến",IF(B17&gt;'1_PHIEU_TU_VAN'!$K$10,"25% sau nhận nhà",""))))</f>
        <v>Mốc nhận nhà dự kiến</v>
      </c>
    </row>
    <row r="18" spans="1:8">
      <c r="A18" s="71" t="str">
        <f>"Đợt "&amp;(COUNT($B$11:$B$17)+1)</f>
        <v>Đợt 8</v>
      </c>
      <c r="B18" s="74"/>
      <c r="C18" s="71" t="s">
        <v>59</v>
      </c>
      <c r="D18" s="72">
        <f>'8_THAM_SO'!$E$7</f>
        <v>0.05</v>
      </c>
      <c r="E18" s="75">
        <f>$G$5*D18</f>
        <v>451074250</v>
      </c>
      <c r="F18" s="75">
        <f>$G$5*G18</f>
        <v>9021485000</v>
      </c>
      <c r="G18" s="72">
        <f>MAX(G11:G17)+D18</f>
        <v>1</v>
      </c>
      <c r="H18" s="73"/>
    </row>
    <row r="19" spans="1:8" ht="14.5">
      <c r="A19" s="56" t="s">
        <v>60</v>
      </c>
      <c r="B19" s="56"/>
      <c r="C19" s="56"/>
      <c r="D19" s="57">
        <f>SUM($D$11:$D$18)</f>
        <v>1</v>
      </c>
      <c r="E19" s="76">
        <f>SUM($E$11:$E$18)</f>
        <v>9021484999.9999981</v>
      </c>
      <c r="F19" s="76"/>
      <c r="G19" s="57"/>
      <c r="H19" s="56" t="s">
        <v>66</v>
      </c>
    </row>
    <row r="20" spans="1:8">
      <c r="E20" s="55"/>
      <c r="F20" s="55"/>
    </row>
    <row r="21" spans="1:8">
      <c r="E21" s="55"/>
      <c r="F21" s="55"/>
    </row>
    <row r="22" spans="1:8">
      <c r="E22" s="55"/>
      <c r="F22" s="55"/>
    </row>
    <row r="23" spans="1:8">
      <c r="E23" s="55"/>
      <c r="F23" s="55"/>
    </row>
    <row r="24" spans="1:8">
      <c r="E24" s="55"/>
      <c r="F24" s="55"/>
    </row>
    <row r="25" spans="1:8">
      <c r="E25" s="55"/>
      <c r="F25" s="55"/>
    </row>
    <row r="26" spans="1:8">
      <c r="E26" s="55"/>
      <c r="F26" s="55"/>
    </row>
    <row r="27" spans="1:8">
      <c r="E27" s="55"/>
      <c r="F27" s="55"/>
    </row>
    <row r="28" spans="1:8">
      <c r="E28" s="55"/>
      <c r="F28" s="55"/>
    </row>
    <row r="29" spans="1:8">
      <c r="E29" s="55"/>
      <c r="F29" s="55"/>
    </row>
    <row r="30" spans="1:8">
      <c r="E30" s="55"/>
      <c r="F30" s="55"/>
    </row>
    <row r="31" spans="1:8">
      <c r="E31" s="55"/>
      <c r="F31" s="55"/>
    </row>
    <row r="32" spans="1:8">
      <c r="E32" s="55"/>
      <c r="F32" s="55"/>
    </row>
    <row r="33" spans="5:6">
      <c r="E33" s="55"/>
      <c r="F33" s="55"/>
    </row>
    <row r="34" spans="5:6">
      <c r="E34" s="55"/>
      <c r="F34" s="55"/>
    </row>
    <row r="35" spans="5:6">
      <c r="E35" s="55"/>
      <c r="F35" s="55"/>
    </row>
    <row r="36" spans="5:6">
      <c r="E36" s="55"/>
      <c r="F36" s="55"/>
    </row>
    <row r="37" spans="5:6">
      <c r="E37" s="55"/>
      <c r="F37" s="55"/>
    </row>
    <row r="38" spans="5:6">
      <c r="E38" s="55"/>
      <c r="F38" s="55"/>
    </row>
    <row r="39" spans="5:6">
      <c r="E39" s="55"/>
      <c r="F39" s="55"/>
    </row>
    <row r="40" spans="5:6">
      <c r="E40" s="55"/>
      <c r="F40" s="55"/>
    </row>
    <row r="41" spans="5:6">
      <c r="E41" s="55"/>
      <c r="F41" s="55"/>
    </row>
    <row r="42" spans="5:6">
      <c r="E42" s="55"/>
      <c r="F42" s="55"/>
    </row>
    <row r="43" spans="5:6">
      <c r="E43" s="55"/>
      <c r="F43" s="55"/>
    </row>
    <row r="44" spans="5:6">
      <c r="E44" s="55"/>
      <c r="F44" s="55"/>
    </row>
    <row r="45" spans="5:6">
      <c r="E45" s="55"/>
      <c r="F45" s="55"/>
    </row>
    <row r="46" spans="5:6">
      <c r="E46" s="55"/>
      <c r="F46" s="55"/>
    </row>
    <row r="47" spans="5:6">
      <c r="E47" s="55"/>
      <c r="F47" s="55"/>
    </row>
    <row r="48" spans="5:6">
      <c r="E48" s="55"/>
      <c r="F48" s="55"/>
    </row>
    <row r="49" spans="5:6">
      <c r="E49" s="55"/>
      <c r="F49" s="55"/>
    </row>
    <row r="50" spans="5:6">
      <c r="E50" s="55"/>
      <c r="F50" s="55"/>
    </row>
    <row r="51" spans="5:6">
      <c r="E51" s="55"/>
      <c r="F51" s="55"/>
    </row>
    <row r="52" spans="5:6">
      <c r="E52" s="55"/>
      <c r="F52" s="55"/>
    </row>
    <row r="53" spans="5:6">
      <c r="E53" s="55"/>
      <c r="F53" s="55"/>
    </row>
    <row r="54" spans="5:6">
      <c r="E54" s="55"/>
      <c r="F54" s="55"/>
    </row>
    <row r="55" spans="5:6">
      <c r="E55" s="55"/>
      <c r="F55" s="55"/>
    </row>
    <row r="56" spans="5:6">
      <c r="E56" s="55"/>
      <c r="F56" s="55"/>
    </row>
    <row r="57" spans="5:6">
      <c r="E57" s="55"/>
      <c r="F57" s="55"/>
    </row>
    <row r="58" spans="5:6">
      <c r="E58" s="55"/>
      <c r="F58" s="55"/>
    </row>
    <row r="59" spans="5:6">
      <c r="E59" s="55"/>
      <c r="F59" s="55"/>
    </row>
    <row r="60" spans="5:6">
      <c r="E60" s="55"/>
      <c r="F60" s="55"/>
    </row>
    <row r="61" spans="5:6">
      <c r="E61" s="55"/>
      <c r="F61" s="55"/>
    </row>
    <row r="62" spans="5:6">
      <c r="E62" s="55"/>
      <c r="F62" s="55"/>
    </row>
    <row r="63" spans="5:6">
      <c r="E63" s="55"/>
      <c r="F63" s="55"/>
    </row>
    <row r="64" spans="5:6">
      <c r="E64" s="55"/>
      <c r="F64" s="55"/>
    </row>
    <row r="65" spans="5:6">
      <c r="E65" s="55"/>
      <c r="F65" s="55"/>
    </row>
    <row r="66" spans="5:6">
      <c r="E66" s="55"/>
      <c r="F66" s="55"/>
    </row>
    <row r="67" spans="5:6">
      <c r="E67" s="55"/>
      <c r="F67" s="55"/>
    </row>
    <row r="68" spans="5:6">
      <c r="E68" s="55"/>
      <c r="F68" s="55"/>
    </row>
    <row r="69" spans="5:6">
      <c r="E69" s="55"/>
      <c r="F69" s="55"/>
    </row>
    <row r="70" spans="5:6">
      <c r="E70" s="55"/>
      <c r="F70" s="55"/>
    </row>
    <row r="71" spans="5:6">
      <c r="E71" s="55"/>
      <c r="F71" s="55"/>
    </row>
    <row r="72" spans="5:6">
      <c r="E72" s="55"/>
      <c r="F72" s="55"/>
    </row>
    <row r="73" spans="5:6">
      <c r="E73" s="55"/>
      <c r="F73" s="55"/>
    </row>
    <row r="74" spans="5:6">
      <c r="E74" s="55"/>
      <c r="F74" s="55"/>
    </row>
    <row r="75" spans="5:6">
      <c r="E75" s="55"/>
      <c r="F75" s="55"/>
    </row>
    <row r="76" spans="5:6">
      <c r="E76" s="55"/>
      <c r="F76" s="55"/>
    </row>
    <row r="77" spans="5:6">
      <c r="E77" s="55"/>
      <c r="F77" s="55"/>
    </row>
    <row r="78" spans="5:6">
      <c r="E78" s="55"/>
      <c r="F78" s="55"/>
    </row>
    <row r="79" spans="5:6">
      <c r="E79" s="55"/>
      <c r="F79" s="55"/>
    </row>
    <row r="80" spans="5:6">
      <c r="E80" s="55"/>
      <c r="F80" s="55"/>
    </row>
    <row r="81" spans="5:6">
      <c r="E81" s="55"/>
      <c r="F81" s="55"/>
    </row>
    <row r="82" spans="5:6">
      <c r="E82" s="55"/>
      <c r="F82" s="55"/>
    </row>
    <row r="83" spans="5:6">
      <c r="E83" s="55"/>
      <c r="F83" s="55"/>
    </row>
    <row r="84" spans="5:6">
      <c r="E84" s="55"/>
      <c r="F84" s="55"/>
    </row>
    <row r="85" spans="5:6">
      <c r="E85" s="55"/>
      <c r="F85" s="55"/>
    </row>
    <row r="86" spans="5:6">
      <c r="E86" s="55"/>
      <c r="F86" s="55"/>
    </row>
    <row r="87" spans="5:6">
      <c r="E87" s="55"/>
      <c r="F87" s="55"/>
    </row>
    <row r="88" spans="5:6">
      <c r="E88" s="55"/>
      <c r="F88" s="55"/>
    </row>
    <row r="89" spans="5:6">
      <c r="E89" s="55"/>
      <c r="F89" s="55"/>
    </row>
    <row r="90" spans="5:6">
      <c r="E90" s="55"/>
      <c r="F90" s="55"/>
    </row>
    <row r="91" spans="5:6">
      <c r="E91" s="55"/>
      <c r="F91" s="55"/>
    </row>
    <row r="92" spans="5:6">
      <c r="E92" s="55"/>
      <c r="F92" s="55"/>
    </row>
    <row r="93" spans="5:6">
      <c r="E93" s="55"/>
      <c r="F93" s="55"/>
    </row>
    <row r="94" spans="5:6">
      <c r="E94" s="55"/>
      <c r="F94" s="55"/>
    </row>
    <row r="95" spans="5:6">
      <c r="E95" s="55"/>
      <c r="F95" s="55"/>
    </row>
    <row r="96" spans="5:6">
      <c r="E96" s="55"/>
      <c r="F96" s="55"/>
    </row>
    <row r="97" spans="5:6">
      <c r="E97" s="55"/>
      <c r="F97" s="55"/>
    </row>
    <row r="98" spans="5:6">
      <c r="E98" s="55"/>
      <c r="F98" s="55"/>
    </row>
    <row r="99" spans="5:6">
      <c r="E99" s="55"/>
      <c r="F99" s="55"/>
    </row>
    <row r="100" spans="5:6">
      <c r="E100" s="55"/>
      <c r="F100" s="55"/>
    </row>
    <row r="101" spans="5:6">
      <c r="E101" s="55"/>
      <c r="F101" s="55"/>
    </row>
    <row r="102" spans="5:6">
      <c r="E102" s="55"/>
      <c r="F102" s="55"/>
    </row>
    <row r="103" spans="5:6">
      <c r="E103" s="55"/>
      <c r="F103" s="55"/>
    </row>
    <row r="104" spans="5:6">
      <c r="E104" s="55"/>
      <c r="F104" s="55"/>
    </row>
    <row r="105" spans="5:6">
      <c r="E105" s="55"/>
      <c r="F105" s="55"/>
    </row>
    <row r="106" spans="5:6">
      <c r="E106" s="55"/>
      <c r="F106" s="55"/>
    </row>
    <row r="107" spans="5:6">
      <c r="E107" s="55"/>
      <c r="F107" s="55"/>
    </row>
    <row r="108" spans="5:6">
      <c r="E108" s="55"/>
      <c r="F108" s="55"/>
    </row>
    <row r="109" spans="5:6">
      <c r="E109" s="55"/>
      <c r="F109" s="55"/>
    </row>
    <row r="110" spans="5:6">
      <c r="E110" s="55"/>
      <c r="F110" s="55"/>
    </row>
    <row r="111" spans="5:6">
      <c r="E111" s="55"/>
      <c r="F111" s="55"/>
    </row>
    <row r="112" spans="5:6">
      <c r="E112" s="55"/>
      <c r="F112" s="55"/>
    </row>
    <row r="113" spans="5:6">
      <c r="E113" s="55"/>
      <c r="F113" s="55"/>
    </row>
    <row r="114" spans="5:6">
      <c r="E114" s="55"/>
      <c r="F114" s="55"/>
    </row>
    <row r="115" spans="5:6">
      <c r="E115" s="55"/>
      <c r="F115" s="55"/>
    </row>
    <row r="116" spans="5:6">
      <c r="E116" s="55"/>
      <c r="F116" s="55"/>
    </row>
    <row r="117" spans="5:6">
      <c r="E117" s="55"/>
      <c r="F117" s="55"/>
    </row>
    <row r="118" spans="5:6">
      <c r="E118" s="55"/>
      <c r="F118" s="55"/>
    </row>
    <row r="119" spans="5:6">
      <c r="E119" s="55"/>
      <c r="F119" s="55"/>
    </row>
    <row r="120" spans="5:6">
      <c r="E120" s="55"/>
      <c r="F120" s="55"/>
    </row>
    <row r="121" spans="5:6">
      <c r="E121" s="55"/>
      <c r="F121" s="55"/>
    </row>
    <row r="122" spans="5:6">
      <c r="E122" s="55"/>
      <c r="F122" s="55"/>
    </row>
    <row r="123" spans="5:6">
      <c r="E123" s="55"/>
      <c r="F123" s="55"/>
    </row>
    <row r="124" spans="5:6">
      <c r="E124" s="55"/>
      <c r="F124" s="55"/>
    </row>
    <row r="125" spans="5:6">
      <c r="E125" s="55"/>
      <c r="F125" s="55"/>
    </row>
    <row r="126" spans="5:6">
      <c r="E126" s="55"/>
      <c r="F126" s="55"/>
    </row>
    <row r="127" spans="5:6">
      <c r="E127" s="55"/>
      <c r="F127" s="55"/>
    </row>
    <row r="128" spans="5:6">
      <c r="E128" s="55"/>
      <c r="F128" s="55"/>
    </row>
    <row r="129" spans="5:6">
      <c r="E129" s="55"/>
      <c r="F129" s="55"/>
    </row>
    <row r="130" spans="5:6">
      <c r="E130" s="55"/>
      <c r="F130" s="55"/>
    </row>
    <row r="131" spans="5:6">
      <c r="E131" s="55"/>
      <c r="F131" s="55"/>
    </row>
    <row r="132" spans="5:6">
      <c r="E132" s="55"/>
      <c r="F132" s="55"/>
    </row>
    <row r="133" spans="5:6">
      <c r="E133" s="55"/>
      <c r="F133" s="55"/>
    </row>
    <row r="134" spans="5:6">
      <c r="E134" s="55"/>
      <c r="F134" s="55"/>
    </row>
    <row r="135" spans="5:6">
      <c r="E135" s="55"/>
      <c r="F135" s="55"/>
    </row>
    <row r="136" spans="5:6">
      <c r="E136" s="55"/>
      <c r="F136" s="55"/>
    </row>
    <row r="137" spans="5:6">
      <c r="E137" s="55"/>
      <c r="F137" s="55"/>
    </row>
    <row r="138" spans="5:6">
      <c r="E138" s="55"/>
      <c r="F138" s="55"/>
    </row>
    <row r="139" spans="5:6">
      <c r="E139" s="55"/>
      <c r="F139" s="55"/>
    </row>
    <row r="140" spans="5:6">
      <c r="E140" s="55"/>
      <c r="F140" s="55"/>
    </row>
    <row r="141" spans="5:6">
      <c r="E141" s="55"/>
      <c r="F141" s="55"/>
    </row>
    <row r="142" spans="5:6">
      <c r="E142" s="55"/>
      <c r="F142" s="55"/>
    </row>
    <row r="143" spans="5:6">
      <c r="E143" s="55"/>
      <c r="F143" s="55"/>
    </row>
    <row r="144" spans="5:6">
      <c r="E144" s="55"/>
      <c r="F144" s="55"/>
    </row>
    <row r="145" spans="5:6">
      <c r="E145" s="55"/>
      <c r="F145" s="55"/>
    </row>
    <row r="146" spans="5:6">
      <c r="E146" s="55"/>
      <c r="F146" s="55"/>
    </row>
    <row r="147" spans="5:6">
      <c r="E147" s="55"/>
      <c r="F147" s="55"/>
    </row>
    <row r="148" spans="5:6">
      <c r="E148" s="55"/>
      <c r="F148" s="55"/>
    </row>
    <row r="149" spans="5:6">
      <c r="E149" s="55"/>
      <c r="F149" s="55"/>
    </row>
    <row r="150" spans="5:6">
      <c r="E150" s="55"/>
      <c r="F150" s="55"/>
    </row>
    <row r="151" spans="5:6">
      <c r="E151" s="55"/>
      <c r="F151" s="55"/>
    </row>
    <row r="152" spans="5:6">
      <c r="E152" s="55"/>
      <c r="F152" s="55"/>
    </row>
    <row r="153" spans="5:6">
      <c r="E153" s="55"/>
      <c r="F153" s="55"/>
    </row>
    <row r="154" spans="5:6">
      <c r="E154" s="55"/>
      <c r="F154" s="55"/>
    </row>
    <row r="155" spans="5:6">
      <c r="E155" s="55"/>
      <c r="F155" s="55"/>
    </row>
    <row r="156" spans="5:6">
      <c r="E156" s="55"/>
      <c r="F156" s="55"/>
    </row>
    <row r="157" spans="5:6">
      <c r="E157" s="55"/>
      <c r="F157" s="55"/>
    </row>
    <row r="158" spans="5:6">
      <c r="E158" s="55"/>
      <c r="F158" s="55"/>
    </row>
    <row r="159" spans="5:6">
      <c r="E159" s="55"/>
      <c r="F159" s="55"/>
    </row>
    <row r="160" spans="5:6">
      <c r="E160" s="55"/>
      <c r="F160" s="55"/>
    </row>
    <row r="161" spans="5:6">
      <c r="E161" s="55"/>
      <c r="F161" s="55"/>
    </row>
    <row r="162" spans="5:6">
      <c r="E162" s="55"/>
      <c r="F162" s="55"/>
    </row>
    <row r="163" spans="5:6">
      <c r="E163" s="55"/>
      <c r="F163" s="55"/>
    </row>
    <row r="164" spans="5:6">
      <c r="E164" s="55"/>
      <c r="F164" s="55"/>
    </row>
    <row r="165" spans="5:6">
      <c r="E165" s="55"/>
      <c r="F165" s="55"/>
    </row>
    <row r="166" spans="5:6">
      <c r="E166" s="55"/>
      <c r="F166" s="55"/>
    </row>
    <row r="167" spans="5:6">
      <c r="E167" s="55"/>
      <c r="F167" s="55"/>
    </row>
    <row r="168" spans="5:6">
      <c r="E168" s="55"/>
      <c r="F168" s="55"/>
    </row>
    <row r="169" spans="5:6">
      <c r="E169" s="55"/>
      <c r="F169" s="55"/>
    </row>
    <row r="170" spans="5:6">
      <c r="E170" s="55"/>
      <c r="F170" s="55"/>
    </row>
    <row r="171" spans="5:6">
      <c r="E171" s="55"/>
      <c r="F171" s="55"/>
    </row>
    <row r="172" spans="5:6">
      <c r="E172" s="55"/>
      <c r="F172" s="55"/>
    </row>
    <row r="173" spans="5:6">
      <c r="E173" s="55"/>
      <c r="F173" s="55"/>
    </row>
    <row r="174" spans="5:6">
      <c r="E174" s="55"/>
      <c r="F174" s="55"/>
    </row>
    <row r="175" spans="5:6">
      <c r="E175" s="55"/>
      <c r="F175" s="55"/>
    </row>
    <row r="176" spans="5:6">
      <c r="E176" s="55"/>
      <c r="F176" s="55"/>
    </row>
    <row r="177" spans="5:6">
      <c r="E177" s="55"/>
      <c r="F177" s="55"/>
    </row>
    <row r="178" spans="5:6">
      <c r="E178" s="55"/>
      <c r="F178" s="55"/>
    </row>
    <row r="179" spans="5:6">
      <c r="E179" s="55"/>
      <c r="F179" s="55"/>
    </row>
    <row r="180" spans="5:6">
      <c r="E180" s="55"/>
      <c r="F180" s="55"/>
    </row>
    <row r="181" spans="5:6">
      <c r="E181" s="55"/>
      <c r="F181" s="55"/>
    </row>
    <row r="182" spans="5:6">
      <c r="E182" s="55"/>
      <c r="F182" s="55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062CBB9-2D74-42C0-BCD1-9F2AC32AD487}">
            <xm:f>$B11='1_PHIEU_TU_VAN'!$K$10</xm:f>
            <x14:dxf>
              <font>
                <b/>
                <i val="0"/>
              </font>
              <fill>
                <patternFill>
                  <bgColor rgb="FFE3E8D4"/>
                </patternFill>
              </fill>
            </x14:dxf>
          </x14:cfRule>
          <xm:sqref>A11:H19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showGridLines="0" workbookViewId="0">
      <selection activeCell="I32" sqref="I32"/>
    </sheetView>
  </sheetViews>
  <sheetFormatPr defaultColWidth="8.75" defaultRowHeight="14"/>
  <cols>
    <col min="1" max="1" width="12" style="15" customWidth="1"/>
    <col min="2" max="2" width="11.25" style="15" customWidth="1"/>
    <col min="3" max="3" width="20.5" style="15" customWidth="1"/>
    <col min="4" max="4" width="9.83203125" style="15" customWidth="1"/>
    <col min="5" max="5" width="14.33203125" style="15" customWidth="1"/>
    <col min="6" max="6" width="16.83203125" style="15" customWidth="1"/>
    <col min="7" max="7" width="12.33203125" style="15" customWidth="1"/>
    <col min="8" max="8" width="24" style="15" customWidth="1"/>
    <col min="9" max="16384" width="8.75" style="15"/>
  </cols>
  <sheetData>
    <row r="1" spans="1:8" ht="18.5">
      <c r="A1" s="52" t="s">
        <v>68</v>
      </c>
      <c r="B1" s="52"/>
      <c r="C1" s="52"/>
      <c r="D1" s="52"/>
      <c r="E1" s="52"/>
      <c r="F1" s="52"/>
      <c r="G1" s="52"/>
      <c r="H1" s="52"/>
    </row>
    <row r="3" spans="1:8">
      <c r="A3" s="53" t="s">
        <v>40</v>
      </c>
      <c r="B3" s="64" t="str">
        <f>'1_PHIEU_TU_VAN'!B7</f>
        <v>2PN</v>
      </c>
      <c r="C3" s="53" t="s">
        <v>41</v>
      </c>
      <c r="D3" s="63">
        <f>IF('1_PHIEU_TU_VAN'!K7="Có",'8_THAM_SO'!$B$16,0)</f>
        <v>0.03</v>
      </c>
      <c r="F3" s="54" t="s">
        <v>42</v>
      </c>
      <c r="G3" s="50">
        <f>'1_PHIEU_TU_VAN'!F7*1000000000</f>
        <v>8900000000</v>
      </c>
    </row>
    <row r="4" spans="1:8">
      <c r="A4" s="60" t="s">
        <v>43</v>
      </c>
      <c r="B4" s="64">
        <f>'1_PHIEU_TU_VAN'!B9</f>
        <v>74.709999999999994</v>
      </c>
      <c r="C4" s="53" t="s">
        <v>26</v>
      </c>
      <c r="D4" s="63">
        <f>INDEX('8_THAM_SO'!$B$4:$B$9,MATCH("Chuẩn 24 tháng",'8_THAM_SO'!$A$4:$A$9,0))</f>
        <v>0.02</v>
      </c>
      <c r="F4" s="53" t="s">
        <v>44</v>
      </c>
      <c r="G4" s="50">
        <f>G3*(1-D3)*(1-D4)*(1-D5)</f>
        <v>8460340000</v>
      </c>
    </row>
    <row r="5" spans="1:8">
      <c r="A5" s="60" t="s">
        <v>45</v>
      </c>
      <c r="B5" s="64">
        <f>'1_PHIEU_TU_VAN'!B8</f>
        <v>65.760000000000005</v>
      </c>
      <c r="C5" s="54" t="s">
        <v>46</v>
      </c>
      <c r="D5" s="63">
        <f>IF('1_PHIEU_TU_VAN'!B11&gt;=5,'8_THAM_SO'!$B$19,IF('1_PHIEU_TU_VAN'!B11&gt;=3,'8_THAM_SO'!$B$18,IF('1_PHIEU_TU_VAN'!B11=2,'8_THAM_SO'!$B$17,0)))</f>
        <v>0</v>
      </c>
      <c r="F5" s="54" t="s">
        <v>47</v>
      </c>
      <c r="G5" s="50">
        <f>G4*(1+'8_THAM_SO'!$B$14)</f>
        <v>9306374000</v>
      </c>
    </row>
    <row r="6" spans="1:8">
      <c r="C6" s="54" t="s">
        <v>27</v>
      </c>
      <c r="D6" s="63">
        <f>1-(1-D3)*(1-D4)*(1-D5)</f>
        <v>4.9399999999999999E-2</v>
      </c>
    </row>
    <row r="9" spans="1:8">
      <c r="A9" s="58" t="s">
        <v>48</v>
      </c>
      <c r="B9" s="58" t="s">
        <v>49</v>
      </c>
      <c r="C9" s="58" t="s">
        <v>50</v>
      </c>
      <c r="D9" s="58" t="s">
        <v>63</v>
      </c>
      <c r="E9" s="58" t="s">
        <v>64</v>
      </c>
      <c r="F9" s="58" t="s">
        <v>56</v>
      </c>
      <c r="G9" s="58" t="s">
        <v>65</v>
      </c>
      <c r="H9" s="58" t="s">
        <v>57</v>
      </c>
    </row>
    <row r="10" spans="1:8">
      <c r="A10" s="41"/>
      <c r="B10" s="42">
        <f>'1_PHIEU_TU_VAN'!$K$9-7</f>
        <v>46288</v>
      </c>
      <c r="C10" s="41" t="s">
        <v>58</v>
      </c>
      <c r="D10" s="41"/>
      <c r="E10" s="49">
        <f>'8_THAM_SO'!$B$13</f>
        <v>100000000</v>
      </c>
      <c r="F10" s="49">
        <f>E10</f>
        <v>100000000</v>
      </c>
      <c r="G10" s="41"/>
      <c r="H10" s="43"/>
    </row>
    <row r="11" spans="1:8">
      <c r="A11" s="71" t="str">
        <f>IF(B11="","","Đợt "&amp;COUNT($B$11:B11))</f>
        <v>Đợt 1</v>
      </c>
      <c r="B11" s="74">
        <f>'1_PHIEU_TU_VAN'!$K$9</f>
        <v>46295</v>
      </c>
      <c r="C11" s="71" t="str">
        <f>IF(B11="","",IF(B11='1_PHIEU_TU_VAN'!$K$9,"Ký HĐMB",IF(B11='1_PHIEU_TU_VAN'!$K$10,"Nhận nhà dự kiến",IF(B11&lt;'1_PHIEU_TU_VAN'!$K$10,"Sau 00 tháng","Sau nhận nhà "&amp;TEXT(COUNTIF($B$11:B11,"&gt;"&amp;'1_PHIEU_TU_VAN'!$K$10),"00")&amp;" tháng"))))</f>
        <v>Ký HĐMB</v>
      </c>
      <c r="D11" s="72">
        <f>IF(B11="","",IF(B11='1_PHIEU_TU_VAN'!$K$10,MAX(0,'8_THAM_SO'!$C$6-0),IF(B11&lt;'1_PHIEU_TU_VAN'!$K$10,10%,IF(0&gt;=95%,0,MIN(3%,95%-0)))))</f>
        <v>0.1</v>
      </c>
      <c r="E11" s="75">
        <f t="shared" ref="E11:E35" si="0">IF(D11="","",$G$5*D11)</f>
        <v>930637400</v>
      </c>
      <c r="F11" s="75">
        <f>IF(G11="","",$G$5*G11)</f>
        <v>930637400</v>
      </c>
      <c r="G11" s="72">
        <f>IF(D11="","",0+D11)</f>
        <v>0.1</v>
      </c>
      <c r="H11" s="73" t="str">
        <f>IF(B11="","",IF(B11='1_PHIEU_TU_VAN'!$K$9,"Đã bao gồm 100 triệu đặt cọc",IF(B11='1_PHIEU_TU_VAN'!$K$10,"Mốc nhận nhà dự kiến","")))</f>
        <v>Đã bao gồm 100 triệu đặt cọc</v>
      </c>
    </row>
    <row r="12" spans="1:8">
      <c r="A12" s="71" t="str">
        <f>IF(B12="","","Đợt "&amp;COUNT($B$11:B12))</f>
        <v>Đợt 2</v>
      </c>
      <c r="B12" s="74">
        <f>IF(N($G11)&gt;=95%,"",IF(COUNTIF($B$11:$B11,'1_PHIEU_TU_VAN'!$K$10)&gt;0,EDATE('1_PHIEU_TU_VAN'!$K$10,COUNTIF($B$11:$B11,"&gt;"&amp;'1_PHIEU_TU_VAN'!$K$10)+1),MIN(EDATE('1_PHIEU_TU_VAN'!$K$9,1),'1_PHIEU_TU_VAN'!$K$10)))</f>
        <v>46325</v>
      </c>
      <c r="C12" s="71" t="str">
        <f>IF(B12="","",IF(B12='1_PHIEU_TU_VAN'!$K$9,"Ký HĐMB",IF(B12='1_PHIEU_TU_VAN'!$K$10,"Nhận nhà dự kiến",IF(B12&lt;'1_PHIEU_TU_VAN'!$K$10,"Sau 01 tháng","Sau nhận nhà "&amp;TEXT(COUNTIF($B$11:B12,"&gt;"&amp;'1_PHIEU_TU_VAN'!$K$10),"00")&amp;" tháng"))))</f>
        <v>Sau 01 tháng</v>
      </c>
      <c r="D12" s="72">
        <f>IF(B12="","",IF(B12='1_PHIEU_TU_VAN'!$K$10,MAX(0,'8_THAM_SO'!$C$6-N($G11)),IF(B12&lt;'1_PHIEU_TU_VAN'!$K$10,5%,IF(N($G11)&gt;=95%,0,MIN(3%,95%-N($G11))))))</f>
        <v>0.05</v>
      </c>
      <c r="E12" s="75">
        <f t="shared" si="0"/>
        <v>465318700</v>
      </c>
      <c r="F12" s="75">
        <f>IF(G12="","",$G$5*G12)</f>
        <v>1395956100.0000002</v>
      </c>
      <c r="G12" s="72">
        <f>IF(D12="","",N($G11)+D12)</f>
        <v>0.15000000000000002</v>
      </c>
      <c r="H12" s="73" t="str">
        <f>IF(B12="","",IF(B12='1_PHIEU_TU_VAN'!$K$9,"Đã bao gồm 100 triệu đặt cọc",IF(B12='1_PHIEU_TU_VAN'!$K$10,"Mốc nhận nhà dự kiến","")))</f>
        <v/>
      </c>
    </row>
    <row r="13" spans="1:8">
      <c r="A13" s="71" t="str">
        <f>IF(B13="","","Đợt "&amp;COUNT($B$11:B13))</f>
        <v>Đợt 3</v>
      </c>
      <c r="B13" s="74">
        <f>IF(N($G12)&gt;=95%,"",IF(COUNTIF($B$11:$B12,'1_PHIEU_TU_VAN'!$K$10)&gt;0,EDATE('1_PHIEU_TU_VAN'!$K$10,COUNTIF($B$11:$B12,"&gt;"&amp;'1_PHIEU_TU_VAN'!$K$10)+1),MIN(EDATE('1_PHIEU_TU_VAN'!$K$9,2),'1_PHIEU_TU_VAN'!$K$10)))</f>
        <v>46356</v>
      </c>
      <c r="C13" s="71" t="str">
        <f>IF(B13="","",IF(B13='1_PHIEU_TU_VAN'!$K$9,"Ký HĐMB",IF(B13='1_PHIEU_TU_VAN'!$K$10,"Nhận nhà dự kiến",IF(B13&lt;'1_PHIEU_TU_VAN'!$K$10,"Sau 02 tháng","Sau nhận nhà "&amp;TEXT(COUNTIF($B$11:B13,"&gt;"&amp;'1_PHIEU_TU_VAN'!$K$10),"00")&amp;" tháng"))))</f>
        <v>Sau 02 tháng</v>
      </c>
      <c r="D13" s="72">
        <f>IF(B13="","",IF(B13='1_PHIEU_TU_VAN'!$K$10,MAX(0,'8_THAM_SO'!$C$6-N($G12)),IF(B13&lt;'1_PHIEU_TU_VAN'!$K$10,5%,IF(N($G12)&gt;=95%,0,MIN(3%,95%-N($G12))))))</f>
        <v>0.05</v>
      </c>
      <c r="E13" s="75">
        <f t="shared" si="0"/>
        <v>465318700</v>
      </c>
      <c r="F13" s="75">
        <f t="shared" ref="F13:F35" si="1">IF(G13="","",$G$5*G13)</f>
        <v>1861274800</v>
      </c>
      <c r="G13" s="72">
        <f>IF(D13="","",N($G12)+D13)</f>
        <v>0.2</v>
      </c>
      <c r="H13" s="73" t="str">
        <f>IF(B13="","",IF(B13='1_PHIEU_TU_VAN'!$K$9,"Đã bao gồm 100 triệu đặt cọc",IF(B13='1_PHIEU_TU_VAN'!$K$10,"Mốc nhận nhà dự kiến","")))</f>
        <v/>
      </c>
    </row>
    <row r="14" spans="1:8">
      <c r="A14" s="71" t="str">
        <f>IF(B14="","","Đợt "&amp;COUNT($B$11:B14))</f>
        <v>Đợt 4</v>
      </c>
      <c r="B14" s="74">
        <f>IF(N($G13)&gt;=95%,"",IF(COUNTIF($B$11:$B13,'1_PHIEU_TU_VAN'!$K$10)&gt;0,EDATE('1_PHIEU_TU_VAN'!$K$10,COUNTIF($B$11:$B13,"&gt;"&amp;'1_PHIEU_TU_VAN'!$K$10)+1),MIN(EDATE('1_PHIEU_TU_VAN'!$K$9,3),'1_PHIEU_TU_VAN'!$K$10)))</f>
        <v>46386</v>
      </c>
      <c r="C14" s="71" t="str">
        <f>IF(B14="","",IF(B14='1_PHIEU_TU_VAN'!$K$9,"Ký HĐMB",IF(B14='1_PHIEU_TU_VAN'!$K$10,"Nhận nhà dự kiến",IF(B14&lt;'1_PHIEU_TU_VAN'!$K$10,"Sau 03 tháng","Sau nhận nhà "&amp;TEXT(COUNTIF($B$11:B14,"&gt;"&amp;'1_PHIEU_TU_VAN'!$K$10),"00")&amp;" tháng"))))</f>
        <v>Sau 03 tháng</v>
      </c>
      <c r="D14" s="72">
        <f>IF(B14="","",IF(B14='1_PHIEU_TU_VAN'!$K$10,MAX(0,'8_THAM_SO'!$C$6-N($G13)),IF(B14&lt;'1_PHIEU_TU_VAN'!$K$10,4%,IF(N($G13)&gt;=95%,0,MIN(3%,95%-N($G13))))))</f>
        <v>0.04</v>
      </c>
      <c r="E14" s="75">
        <f t="shared" si="0"/>
        <v>372254960</v>
      </c>
      <c r="F14" s="75">
        <f t="shared" si="1"/>
        <v>2233529760</v>
      </c>
      <c r="G14" s="72">
        <f>IF(D14="","",N($G13)+D14)</f>
        <v>0.24000000000000002</v>
      </c>
      <c r="H14" s="73" t="str">
        <f>IF(B14="","",IF(B14='1_PHIEU_TU_VAN'!$K$9,"Đã bao gồm 100 triệu đặt cọc",IF(B14='1_PHIEU_TU_VAN'!$K$10,"Mốc nhận nhà dự kiến","")))</f>
        <v/>
      </c>
    </row>
    <row r="15" spans="1:8">
      <c r="A15" s="71" t="str">
        <f>IF(B15="","","Đợt "&amp;COUNT($B$11:B15))</f>
        <v>Đợt 5</v>
      </c>
      <c r="B15" s="74">
        <f>IF(N($G14)&gt;=95%,"",IF(COUNTIF($B$11:$B14,'1_PHIEU_TU_VAN'!$K$10)&gt;0,EDATE('1_PHIEU_TU_VAN'!$K$10,COUNTIF($B$11:$B14,"&gt;"&amp;'1_PHIEU_TU_VAN'!$K$10)+1),MIN(EDATE('1_PHIEU_TU_VAN'!$K$9,4),'1_PHIEU_TU_VAN'!$K$10)))</f>
        <v>46417</v>
      </c>
      <c r="C15" s="71" t="str">
        <f>IF(B15="","",IF(B15='1_PHIEU_TU_VAN'!$K$9,"Ký HĐMB",IF(B15='1_PHIEU_TU_VAN'!$K$10,"Nhận nhà dự kiến",IF(B15&lt;'1_PHIEU_TU_VAN'!$K$10,"Sau 04 tháng","Sau nhận nhà "&amp;TEXT(COUNTIF($B$11:B15,"&gt;"&amp;'1_PHIEU_TU_VAN'!$K$10),"00")&amp;" tháng"))))</f>
        <v>Sau 04 tháng</v>
      </c>
      <c r="D15" s="72">
        <f>IF(B15="","",IF(B15='1_PHIEU_TU_VAN'!$K$10,MAX(0,'8_THAM_SO'!$C$6-N($G14)),IF(B15&lt;'1_PHIEU_TU_VAN'!$K$10,4%,IF(N($G14)&gt;=95%,0,MIN(3%,95%-N($G14))))))</f>
        <v>0.04</v>
      </c>
      <c r="E15" s="75">
        <f t="shared" si="0"/>
        <v>372254960</v>
      </c>
      <c r="F15" s="75">
        <f t="shared" si="1"/>
        <v>2605784720.0000005</v>
      </c>
      <c r="G15" s="72">
        <f>IF(D15="","",N($G14)+D15)</f>
        <v>0.28000000000000003</v>
      </c>
      <c r="H15" s="73" t="str">
        <f>IF(B15="","",IF(B15='1_PHIEU_TU_VAN'!$K$9,"Đã bao gồm 100 triệu đặt cọc",IF(B15='1_PHIEU_TU_VAN'!$K$10,"Mốc nhận nhà dự kiến","")))</f>
        <v/>
      </c>
    </row>
    <row r="16" spans="1:8">
      <c r="A16" s="71" t="str">
        <f>IF(B16="","","Đợt "&amp;COUNT($B$11:B16))</f>
        <v>Đợt 6</v>
      </c>
      <c r="B16" s="74">
        <f>IF(N($G15)&gt;=95%,"",IF(COUNTIF($B$11:$B15,'1_PHIEU_TU_VAN'!$K$10)&gt;0,EDATE('1_PHIEU_TU_VAN'!$K$10,COUNTIF($B$11:$B15,"&gt;"&amp;'1_PHIEU_TU_VAN'!$K$10)+1),MIN(EDATE('1_PHIEU_TU_VAN'!$K$9,5),'1_PHIEU_TU_VAN'!$K$10)))</f>
        <v>46446</v>
      </c>
      <c r="C16" s="71" t="str">
        <f>IF(B16="","",IF(B16='1_PHIEU_TU_VAN'!$K$9,"Ký HĐMB",IF(B16='1_PHIEU_TU_VAN'!$K$10,"Nhận nhà dự kiến",IF(B16&lt;'1_PHIEU_TU_VAN'!$K$10,"Sau 05 tháng","Sau nhận nhà "&amp;TEXT(COUNTIF($B$11:B16,"&gt;"&amp;'1_PHIEU_TU_VAN'!$K$10),"00")&amp;" tháng"))))</f>
        <v>Sau 05 tháng</v>
      </c>
      <c r="D16" s="72">
        <f>IF(B16="","",IF(B16='1_PHIEU_TU_VAN'!$K$10,MAX(0,'8_THAM_SO'!$C$6-N($G15)),IF(B16&lt;'1_PHIEU_TU_VAN'!$K$10,4%,IF(N($G15)&gt;=95%,0,MIN(3%,95%-N($G15))))))</f>
        <v>0.04</v>
      </c>
      <c r="E16" s="75">
        <f t="shared" si="0"/>
        <v>372254960</v>
      </c>
      <c r="F16" s="75">
        <f t="shared" si="1"/>
        <v>2978039680</v>
      </c>
      <c r="G16" s="72">
        <f>IF(D16="","",N($G15)+D16)</f>
        <v>0.32</v>
      </c>
      <c r="H16" s="73" t="str">
        <f>IF(B16="","",IF(B16='1_PHIEU_TU_VAN'!$K$9,"Đã bao gồm 100 triệu đặt cọc",IF(B16='1_PHIEU_TU_VAN'!$K$10,"Mốc nhận nhà dự kiến","")))</f>
        <v/>
      </c>
    </row>
    <row r="17" spans="1:8">
      <c r="A17" s="71" t="str">
        <f>IF(B17="","","Đợt "&amp;COUNT($B$11:B17))</f>
        <v>Đợt 7</v>
      </c>
      <c r="B17" s="74">
        <f>IF(N($G16)&gt;=95%,"",IF(COUNTIF($B$11:$B16,'1_PHIEU_TU_VAN'!$K$10)&gt;0,EDATE('1_PHIEU_TU_VAN'!$K$10,COUNTIF($B$11:$B16,"&gt;"&amp;'1_PHIEU_TU_VAN'!$K$10)+1),MIN(EDATE('1_PHIEU_TU_VAN'!$K$9,6),'1_PHIEU_TU_VAN'!$K$10)))</f>
        <v>46476</v>
      </c>
      <c r="C17" s="71" t="str">
        <f>IF(B17="","",IF(B17='1_PHIEU_TU_VAN'!$K$9,"Ký HĐMB",IF(B17='1_PHIEU_TU_VAN'!$K$10,"Nhận nhà dự kiến",IF(B17&lt;'1_PHIEU_TU_VAN'!$K$10,"Sau 06 tháng","Sau nhận nhà "&amp;TEXT(COUNTIF($B$11:B17,"&gt;"&amp;'1_PHIEU_TU_VAN'!$K$10),"00")&amp;" tháng"))))</f>
        <v>Sau 06 tháng</v>
      </c>
      <c r="D17" s="72">
        <f>IF(B17="","",IF(B17='1_PHIEU_TU_VAN'!$K$10,MAX(0,'8_THAM_SO'!$C$6-N($G16)),IF(B17&lt;'1_PHIEU_TU_VAN'!$K$10,4%,IF(N($G16)&gt;=95%,0,MIN(3%,95%-N($G16))))))</f>
        <v>0.04</v>
      </c>
      <c r="E17" s="75">
        <f t="shared" si="0"/>
        <v>372254960</v>
      </c>
      <c r="F17" s="75">
        <f t="shared" si="1"/>
        <v>3350294640</v>
      </c>
      <c r="G17" s="72">
        <f t="shared" ref="G17:G35" si="2">IF(D17="","",N($G16)+D17)</f>
        <v>0.36</v>
      </c>
      <c r="H17" s="73" t="str">
        <f>IF(B17="","",IF(B17='1_PHIEU_TU_VAN'!$K$9,"Đã bao gồm 100 triệu đặt cọc",IF(B17='1_PHIEU_TU_VAN'!$K$10,"Mốc nhận nhà dự kiến","")))</f>
        <v/>
      </c>
    </row>
    <row r="18" spans="1:8">
      <c r="A18" s="71" t="str">
        <f>IF(B18="","","Đợt "&amp;COUNT($B$11:B18))</f>
        <v>Đợt 8</v>
      </c>
      <c r="B18" s="74">
        <f>IF(N($G17)&gt;=95%,"",IF(COUNTIF($B$11:$B17,'1_PHIEU_TU_VAN'!$K$10)&gt;0,EDATE('1_PHIEU_TU_VAN'!$K$10,COUNTIF($B$11:$B17,"&gt;"&amp;'1_PHIEU_TU_VAN'!$K$10)+1),MIN(EDATE('1_PHIEU_TU_VAN'!$K$9,7),'1_PHIEU_TU_VAN'!$K$10)))</f>
        <v>46507</v>
      </c>
      <c r="C18" s="71" t="str">
        <f>IF(B18="","",IF(B18='1_PHIEU_TU_VAN'!$K$9,"Ký HĐMB",IF(B18='1_PHIEU_TU_VAN'!$K$10,"Nhận nhà dự kiến",IF(B18&lt;'1_PHIEU_TU_VAN'!$K$10,"Sau 07 tháng","Sau nhận nhà "&amp;TEXT(COUNTIF($B$11:B18,"&gt;"&amp;'1_PHIEU_TU_VAN'!$K$10),"00")&amp;" tháng"))))</f>
        <v>Sau 07 tháng</v>
      </c>
      <c r="D18" s="72">
        <f>IF(B18="","",IF(B18='1_PHIEU_TU_VAN'!$K$10,MAX(0,'8_THAM_SO'!$C$6-N($G17)),IF(B18&lt;'1_PHIEU_TU_VAN'!$K$10,4%,IF(N($G17)&gt;=95%,0,MIN(3%,95%-N($G17))))))</f>
        <v>0.04</v>
      </c>
      <c r="E18" s="75">
        <f t="shared" si="0"/>
        <v>372254960</v>
      </c>
      <c r="F18" s="75">
        <f t="shared" si="1"/>
        <v>3722549599.9999995</v>
      </c>
      <c r="G18" s="72">
        <f t="shared" si="2"/>
        <v>0.39999999999999997</v>
      </c>
      <c r="H18" s="73" t="str">
        <f>IF(B18="","",IF(B18='1_PHIEU_TU_VAN'!$K$9,"Đã bao gồm 100 triệu đặt cọc",IF(B18='1_PHIEU_TU_VAN'!$K$10,"Mốc nhận nhà dự kiến","")))</f>
        <v/>
      </c>
    </row>
    <row r="19" spans="1:8">
      <c r="A19" s="71" t="str">
        <f>IF(B19="","","Đợt "&amp;COUNT($B$11:B19))</f>
        <v>Đợt 9</v>
      </c>
      <c r="B19" s="74">
        <f>IF(N($G18)&gt;=95%,"",IF(COUNTIF($B$11:$B18,'1_PHIEU_TU_VAN'!$K$10)&gt;0,EDATE('1_PHIEU_TU_VAN'!$K$10,COUNTIF($B$11:$B18,"&gt;"&amp;'1_PHIEU_TU_VAN'!$K$10)+1),MIN(EDATE('1_PHIEU_TU_VAN'!$K$9,8),'1_PHIEU_TU_VAN'!$K$10)))</f>
        <v>46537</v>
      </c>
      <c r="C19" s="71" t="str">
        <f>IF(B19="","",IF(B19='1_PHIEU_TU_VAN'!$K$9,"Ký HĐMB",IF(B19='1_PHIEU_TU_VAN'!$K$10,"Nhận nhà dự kiến",IF(B19&lt;'1_PHIEU_TU_VAN'!$K$10,"Sau 08 tháng","Sau nhận nhà "&amp;TEXT(COUNTIF($B$11:B19,"&gt;"&amp;'1_PHIEU_TU_VAN'!$K$10),"00")&amp;" tháng"))))</f>
        <v>Sau 08 tháng</v>
      </c>
      <c r="D19" s="72">
        <f>IF(B19="","",IF(B19='1_PHIEU_TU_VAN'!$K$10,MAX(0,'8_THAM_SO'!$C$6-N($G18)),IF(B19&lt;'1_PHIEU_TU_VAN'!$K$10,4%,IF(N($G18)&gt;=95%,0,MIN(3%,95%-N($G18))))))</f>
        <v>0.04</v>
      </c>
      <c r="E19" s="75">
        <f t="shared" si="0"/>
        <v>372254960</v>
      </c>
      <c r="F19" s="75">
        <f t="shared" si="1"/>
        <v>4094804559.9999995</v>
      </c>
      <c r="G19" s="72">
        <f t="shared" si="2"/>
        <v>0.43999999999999995</v>
      </c>
      <c r="H19" s="73" t="str">
        <f>IF(B19="","",IF(B19='1_PHIEU_TU_VAN'!$K$9,"Đã bao gồm 100 triệu đặt cọc",IF(B19='1_PHIEU_TU_VAN'!$K$10,"Mốc nhận nhà dự kiến","")))</f>
        <v/>
      </c>
    </row>
    <row r="20" spans="1:8">
      <c r="A20" s="71" t="str">
        <f>IF(B20="","","Đợt "&amp;COUNT($B$11:B20))</f>
        <v>Đợt 10</v>
      </c>
      <c r="B20" s="74">
        <f>IF(N($G19)&gt;=95%,"",IF(COUNTIF($B$11:$B19,'1_PHIEU_TU_VAN'!$K$10)&gt;0,EDATE('1_PHIEU_TU_VAN'!$K$10,COUNTIF($B$11:$B19,"&gt;"&amp;'1_PHIEU_TU_VAN'!$K$10)+1),MIN(EDATE('1_PHIEU_TU_VAN'!$K$9,9),'1_PHIEU_TU_VAN'!$K$10)))</f>
        <v>46568</v>
      </c>
      <c r="C20" s="71" t="str">
        <f>IF(B20="","",IF(B20='1_PHIEU_TU_VAN'!$K$9,"Ký HĐMB",IF(B20='1_PHIEU_TU_VAN'!$K$10,"Nhận nhà dự kiến",IF(B20&lt;'1_PHIEU_TU_VAN'!$K$10,"Sau 09 tháng","Sau nhận nhà "&amp;TEXT(COUNTIF($B$11:B20,"&gt;"&amp;'1_PHIEU_TU_VAN'!$K$10),"00")&amp;" tháng"))))</f>
        <v>Nhận nhà dự kiến</v>
      </c>
      <c r="D20" s="72">
        <f>IF(B20="","",IF(B20='1_PHIEU_TU_VAN'!$K$10,MAX(0,'8_THAM_SO'!$C$6-N($G19)),IF(B20&lt;'1_PHIEU_TU_VAN'!$K$10,4%,IF(N($G19)&gt;=95%,0,MIN(3%,95%-N($G19))))))</f>
        <v>6.0000000000000053E-2</v>
      </c>
      <c r="E20" s="75">
        <f>IF(D20="","",$G$5*D20)</f>
        <v>558382440.00000048</v>
      </c>
      <c r="F20" s="75">
        <f t="shared" si="1"/>
        <v>4653187000</v>
      </c>
      <c r="G20" s="72">
        <f t="shared" si="2"/>
        <v>0.5</v>
      </c>
      <c r="H20" s="73" t="str">
        <f>IF(B20="","",IF(B20='1_PHIEU_TU_VAN'!$K$9,"Đã bao gồm 100 triệu đặt cọc",IF(B20='1_PHIEU_TU_VAN'!$K$10,"Mốc nhận nhà dự kiến","")))</f>
        <v>Mốc nhận nhà dự kiến</v>
      </c>
    </row>
    <row r="21" spans="1:8">
      <c r="A21" s="71" t="str">
        <f>IF(B21="","","Đợt "&amp;COUNT($B$11:B21))</f>
        <v>Đợt 11</v>
      </c>
      <c r="B21" s="74">
        <f>IF(N($G20)&gt;=95%,"",IF(COUNTIF($B$11:$B20,'1_PHIEU_TU_VAN'!$K$10)&gt;0,EDATE('1_PHIEU_TU_VAN'!$K$10,COUNTIF($B$11:$B20,"&gt;"&amp;'1_PHIEU_TU_VAN'!$K$10)+1),MIN(EDATE('1_PHIEU_TU_VAN'!$K$9,10),'1_PHIEU_TU_VAN'!$K$10)))</f>
        <v>46598</v>
      </c>
      <c r="C21" s="71" t="str">
        <f>IF(B21="","",IF(B21='1_PHIEU_TU_VAN'!$K$9,"Ký HĐMB",IF(B21='1_PHIEU_TU_VAN'!$K$10,"Nhận nhà dự kiến",IF(B21&lt;'1_PHIEU_TU_VAN'!$K$10,"Sau 10 tháng","Sau nhận nhà "&amp;TEXT(COUNTIF($B$11:B21,"&gt;"&amp;'1_PHIEU_TU_VAN'!$K$10),"00")&amp;" tháng"))))</f>
        <v>Sau nhận nhà 01 tháng</v>
      </c>
      <c r="D21" s="72">
        <f>IF(B21="","",IF(B21='1_PHIEU_TU_VAN'!$K$10,MAX(0,'8_THAM_SO'!$C$6-N($G20)),IF(B21&lt;'1_PHIEU_TU_VAN'!$K$10,4%,IF(N($G20)&gt;=95%,0,MIN(3%,95%-N($G20))))))</f>
        <v>0.03</v>
      </c>
      <c r="E21" s="75">
        <f t="shared" si="0"/>
        <v>279191220</v>
      </c>
      <c r="F21" s="75">
        <f t="shared" si="1"/>
        <v>4932378220</v>
      </c>
      <c r="G21" s="72">
        <f t="shared" si="2"/>
        <v>0.53</v>
      </c>
      <c r="H21" s="73" t="str">
        <f>IF(B21="","",IF(B21='1_PHIEU_TU_VAN'!$K$9,"Đã bao gồm 100 triệu đặt cọc",IF(B21='1_PHIEU_TU_VAN'!$K$10,"Mốc nhận nhà dự kiến","")))</f>
        <v/>
      </c>
    </row>
    <row r="22" spans="1:8">
      <c r="A22" s="71" t="str">
        <f>IF(B22="","","Đợt "&amp;COUNT($B$11:B22))</f>
        <v>Đợt 12</v>
      </c>
      <c r="B22" s="74">
        <f>IF(N($G21)&gt;=95%,"",IF(COUNTIF($B$11:$B21,'1_PHIEU_TU_VAN'!$K$10)&gt;0,EDATE('1_PHIEU_TU_VAN'!$K$10,COUNTIF($B$11:$B21,"&gt;"&amp;'1_PHIEU_TU_VAN'!$K$10)+1),MIN(EDATE('1_PHIEU_TU_VAN'!$K$9,11),'1_PHIEU_TU_VAN'!$K$10)))</f>
        <v>46629</v>
      </c>
      <c r="C22" s="71" t="str">
        <f>IF(B22="","",IF(B22='1_PHIEU_TU_VAN'!$K$9,"Ký HĐMB",IF(B22='1_PHIEU_TU_VAN'!$K$10,"Nhận nhà dự kiến",IF(B22&lt;'1_PHIEU_TU_VAN'!$K$10,"Sau 11 tháng","Sau nhận nhà "&amp;TEXT(COUNTIF($B$11:B22,"&gt;"&amp;'1_PHIEU_TU_VAN'!$K$10),"00")&amp;" tháng"))))</f>
        <v>Sau nhận nhà 02 tháng</v>
      </c>
      <c r="D22" s="72">
        <f>IF(B22="","",IF(B22='1_PHIEU_TU_VAN'!$K$10,MAX(0,'8_THAM_SO'!$C$6-N($G21)),IF(B22&lt;'1_PHIEU_TU_VAN'!$K$10,4%,IF(N($G21)&gt;=95%,0,MIN(3%,95%-N($G21))))))</f>
        <v>0.03</v>
      </c>
      <c r="E22" s="75">
        <f t="shared" si="0"/>
        <v>279191220</v>
      </c>
      <c r="F22" s="75">
        <f t="shared" si="1"/>
        <v>5211569440.000001</v>
      </c>
      <c r="G22" s="72">
        <f t="shared" si="2"/>
        <v>0.56000000000000005</v>
      </c>
      <c r="H22" s="73" t="str">
        <f>IF(B22="","",IF(B22='1_PHIEU_TU_VAN'!$K$9,"Đã bao gồm 100 triệu đặt cọc",IF(B22='1_PHIEU_TU_VAN'!$K$10,"Mốc nhận nhà dự kiến","")))</f>
        <v/>
      </c>
    </row>
    <row r="23" spans="1:8">
      <c r="A23" s="71" t="str">
        <f>IF(B23="","","Đợt "&amp;COUNT($B$11:B23))</f>
        <v>Đợt 13</v>
      </c>
      <c r="B23" s="74">
        <f>IF(N($G22)&gt;=95%,"",IF(COUNTIF($B$11:$B22,'1_PHIEU_TU_VAN'!$K$10)&gt;0,EDATE('1_PHIEU_TU_VAN'!$K$10,COUNTIF($B$11:$B22,"&gt;"&amp;'1_PHIEU_TU_VAN'!$K$10)+1),MIN(EDATE('1_PHIEU_TU_VAN'!$K$9,12),'1_PHIEU_TU_VAN'!$K$10)))</f>
        <v>46660</v>
      </c>
      <c r="C23" s="71" t="str">
        <f>IF(B23="","",IF(B23='1_PHIEU_TU_VAN'!$K$9,"Ký HĐMB",IF(B23='1_PHIEU_TU_VAN'!$K$10,"Nhận nhà dự kiến",IF(B23&lt;'1_PHIEU_TU_VAN'!$K$10,"Sau 12 tháng","Sau nhận nhà "&amp;TEXT(COUNTIF($B$11:B23,"&gt;"&amp;'1_PHIEU_TU_VAN'!$K$10),"00")&amp;" tháng"))))</f>
        <v>Sau nhận nhà 03 tháng</v>
      </c>
      <c r="D23" s="72">
        <f>IF(B23="","",IF(B23='1_PHIEU_TU_VAN'!$K$10,MAX(0,'8_THAM_SO'!$C$6-N($G22)),IF(B23&lt;'1_PHIEU_TU_VAN'!$K$10,4%,IF(N($G22)&gt;=95%,0,MIN(3%,95%-N($G22))))))</f>
        <v>0.03</v>
      </c>
      <c r="E23" s="75">
        <f t="shared" si="0"/>
        <v>279191220</v>
      </c>
      <c r="F23" s="75">
        <f t="shared" si="1"/>
        <v>5490760660.000001</v>
      </c>
      <c r="G23" s="72">
        <f t="shared" si="2"/>
        <v>0.59000000000000008</v>
      </c>
      <c r="H23" s="73" t="str">
        <f>IF(B23="","",IF(B23='1_PHIEU_TU_VAN'!$K$9,"Đã bao gồm 100 triệu đặt cọc",IF(B23='1_PHIEU_TU_VAN'!$K$10,"Mốc nhận nhà dự kiến","")))</f>
        <v/>
      </c>
    </row>
    <row r="24" spans="1:8">
      <c r="A24" s="71" t="str">
        <f>IF(B24="","","Đợt "&amp;COUNT($B$11:B24))</f>
        <v>Đợt 14</v>
      </c>
      <c r="B24" s="74">
        <f>IF(N($G23)&gt;=95%,"",IF(COUNTIF($B$11:$B23,'1_PHIEU_TU_VAN'!$K$10)&gt;0,EDATE('1_PHIEU_TU_VAN'!$K$10,COUNTIF($B$11:$B23,"&gt;"&amp;'1_PHIEU_TU_VAN'!$K$10)+1),MIN(EDATE('1_PHIEU_TU_VAN'!$K$9,13),'1_PHIEU_TU_VAN'!$K$10)))</f>
        <v>46690</v>
      </c>
      <c r="C24" s="71" t="str">
        <f>IF(B24="","",IF(B24='1_PHIEU_TU_VAN'!$K$9,"Ký HĐMB",IF(B24='1_PHIEU_TU_VAN'!$K$10,"Nhận nhà dự kiến",IF(B24&lt;'1_PHIEU_TU_VAN'!$K$10,"Sau 13 tháng","Sau nhận nhà "&amp;TEXT(COUNTIF($B$11:B24,"&gt;"&amp;'1_PHIEU_TU_VAN'!$K$10),"00")&amp;" tháng"))))</f>
        <v>Sau nhận nhà 04 tháng</v>
      </c>
      <c r="D24" s="72">
        <f>IF(B24="","",IF(B24='1_PHIEU_TU_VAN'!$K$10,MAX(0,'8_THAM_SO'!$C$6-N($G23)),IF(B24&lt;'1_PHIEU_TU_VAN'!$K$10,4%,IF(N($G23)&gt;=95%,0,MIN(3%,95%-N($G23))))))</f>
        <v>0.03</v>
      </c>
      <c r="E24" s="75">
        <f t="shared" si="0"/>
        <v>279191220</v>
      </c>
      <c r="F24" s="75">
        <f t="shared" si="1"/>
        <v>5769951880.000001</v>
      </c>
      <c r="G24" s="72">
        <f t="shared" si="2"/>
        <v>0.62000000000000011</v>
      </c>
      <c r="H24" s="73" t="str">
        <f>IF(B24="","",IF(B24='1_PHIEU_TU_VAN'!$K$9,"Đã bao gồm 100 triệu đặt cọc",IF(B24='1_PHIEU_TU_VAN'!$K$10,"Mốc nhận nhà dự kiến","")))</f>
        <v/>
      </c>
    </row>
    <row r="25" spans="1:8">
      <c r="A25" s="71" t="str">
        <f>IF(B25="","","Đợt "&amp;COUNT($B$11:B25))</f>
        <v>Đợt 15</v>
      </c>
      <c r="B25" s="74">
        <f>IF(N($G24)&gt;=95%,"",IF(COUNTIF($B$11:$B24,'1_PHIEU_TU_VAN'!$K$10)&gt;0,EDATE('1_PHIEU_TU_VAN'!$K$10,COUNTIF($B$11:$B24,"&gt;"&amp;'1_PHIEU_TU_VAN'!$K$10)+1),MIN(EDATE('1_PHIEU_TU_VAN'!$K$9,14),'1_PHIEU_TU_VAN'!$K$10)))</f>
        <v>46721</v>
      </c>
      <c r="C25" s="71" t="str">
        <f>IF(B25="","",IF(B25='1_PHIEU_TU_VAN'!$K$9,"Ký HĐMB",IF(B25='1_PHIEU_TU_VAN'!$K$10,"Nhận nhà dự kiến",IF(B25&lt;'1_PHIEU_TU_VAN'!$K$10,"Sau 14 tháng","Sau nhận nhà "&amp;TEXT(COUNTIF($B$11:B25,"&gt;"&amp;'1_PHIEU_TU_VAN'!$K$10),"00")&amp;" tháng"))))</f>
        <v>Sau nhận nhà 05 tháng</v>
      </c>
      <c r="D25" s="72">
        <f>IF(B25="","",IF(B25='1_PHIEU_TU_VAN'!$K$10,MAX(0,'8_THAM_SO'!$C$6-N($G24)),IF(B25&lt;'1_PHIEU_TU_VAN'!$K$10,4%,IF(N($G24)&gt;=95%,0,MIN(3%,95%-N($G24))))))</f>
        <v>0.03</v>
      </c>
      <c r="E25" s="75">
        <f t="shared" si="0"/>
        <v>279191220</v>
      </c>
      <c r="F25" s="75">
        <f t="shared" si="1"/>
        <v>6049143100.000001</v>
      </c>
      <c r="G25" s="72">
        <f t="shared" si="2"/>
        <v>0.65000000000000013</v>
      </c>
      <c r="H25" s="73" t="str">
        <f>IF(B25="","",IF(B25='1_PHIEU_TU_VAN'!$K$9,"Đã bao gồm 100 triệu đặt cọc",IF(B25='1_PHIEU_TU_VAN'!$K$10,"Mốc nhận nhà dự kiến","")))</f>
        <v/>
      </c>
    </row>
    <row r="26" spans="1:8">
      <c r="A26" s="71" t="str">
        <f>IF(B26="","","Đợt "&amp;COUNT($B$11:B26))</f>
        <v>Đợt 16</v>
      </c>
      <c r="B26" s="74">
        <f>IF(N($G25)&gt;=95%,"",IF(COUNTIF($B$11:$B25,'1_PHIEU_TU_VAN'!$K$10)&gt;0,EDATE('1_PHIEU_TU_VAN'!$K$10,COUNTIF($B$11:$B25,"&gt;"&amp;'1_PHIEU_TU_VAN'!$K$10)+1),MIN(EDATE('1_PHIEU_TU_VAN'!$K$9,15),'1_PHIEU_TU_VAN'!$K$10)))</f>
        <v>46751</v>
      </c>
      <c r="C26" s="71" t="str">
        <f>IF(B26="","",IF(B26='1_PHIEU_TU_VAN'!$K$9,"Ký HĐMB",IF(B26='1_PHIEU_TU_VAN'!$K$10,"Nhận nhà dự kiến",IF(B26&lt;'1_PHIEU_TU_VAN'!$K$10,"Sau 15 tháng","Sau nhận nhà "&amp;TEXT(COUNTIF($B$11:B26,"&gt;"&amp;'1_PHIEU_TU_VAN'!$K$10),"00")&amp;" tháng"))))</f>
        <v>Sau nhận nhà 06 tháng</v>
      </c>
      <c r="D26" s="72">
        <f>IF(B26="","",IF(B26='1_PHIEU_TU_VAN'!$K$10,MAX(0,'8_THAM_SO'!$C$6-N($G25)),IF(B26&lt;'1_PHIEU_TU_VAN'!$K$10,4%,IF(N($G25)&gt;=95%,0,MIN(3%,95%-N($G25))))))</f>
        <v>0.03</v>
      </c>
      <c r="E26" s="75">
        <f t="shared" si="0"/>
        <v>279191220</v>
      </c>
      <c r="F26" s="75">
        <f t="shared" si="1"/>
        <v>6328334320.0000019</v>
      </c>
      <c r="G26" s="72">
        <f t="shared" si="2"/>
        <v>0.68000000000000016</v>
      </c>
      <c r="H26" s="73" t="str">
        <f>IF(B26="","",IF(B26='1_PHIEU_TU_VAN'!$K$9,"Đã bao gồm 100 triệu đặt cọc",IF(B26='1_PHIEU_TU_VAN'!$K$10,"Mốc nhận nhà dự kiến","")))</f>
        <v/>
      </c>
    </row>
    <row r="27" spans="1:8">
      <c r="A27" s="71" t="str">
        <f>IF(B27="","","Đợt "&amp;COUNT($B$11:B27))</f>
        <v>Đợt 17</v>
      </c>
      <c r="B27" s="74">
        <f>IF(N($G26)&gt;=95%,"",IF(COUNTIF($B$11:$B26,'1_PHIEU_TU_VAN'!$K$10)&gt;0,EDATE('1_PHIEU_TU_VAN'!$K$10,COUNTIF($B$11:$B26,"&gt;"&amp;'1_PHIEU_TU_VAN'!$K$10)+1),MIN(EDATE('1_PHIEU_TU_VAN'!$K$9,16),'1_PHIEU_TU_VAN'!$K$10)))</f>
        <v>46782</v>
      </c>
      <c r="C27" s="71" t="str">
        <f>IF(B27="","",IF(B27='1_PHIEU_TU_VAN'!$K$9,"Ký HĐMB",IF(B27='1_PHIEU_TU_VAN'!$K$10,"Nhận nhà dự kiến",IF(B27&lt;'1_PHIEU_TU_VAN'!$K$10,"Sau 16 tháng","Sau nhận nhà "&amp;TEXT(COUNTIF($B$11:B27,"&gt;"&amp;'1_PHIEU_TU_VAN'!$K$10),"00")&amp;" tháng"))))</f>
        <v>Sau nhận nhà 07 tháng</v>
      </c>
      <c r="D27" s="72">
        <f>IF(B27="","",IF(B27='1_PHIEU_TU_VAN'!$K$10,MAX(0,'8_THAM_SO'!$C$6-N($G26)),IF(B27&lt;'1_PHIEU_TU_VAN'!$K$10,4%,IF(N($G26)&gt;=95%,0,MIN(3%,95%-N($G26))))))</f>
        <v>0.03</v>
      </c>
      <c r="E27" s="75">
        <f t="shared" si="0"/>
        <v>279191220</v>
      </c>
      <c r="F27" s="75">
        <f t="shared" si="1"/>
        <v>6607525540.0000019</v>
      </c>
      <c r="G27" s="72">
        <f t="shared" si="2"/>
        <v>0.71000000000000019</v>
      </c>
      <c r="H27" s="73" t="str">
        <f>IF(B27="","",IF(B27='1_PHIEU_TU_VAN'!$K$9,"Đã bao gồm 100 triệu đặt cọc",IF(B27='1_PHIEU_TU_VAN'!$K$10,"Mốc nhận nhà dự kiến","")))</f>
        <v/>
      </c>
    </row>
    <row r="28" spans="1:8">
      <c r="A28" s="71" t="str">
        <f>IF(B28="","","Đợt "&amp;COUNT($B$11:B28))</f>
        <v>Đợt 18</v>
      </c>
      <c r="B28" s="74">
        <f>IF(N($G27)&gt;=95%,"",IF(COUNTIF($B$11:$B27,'1_PHIEU_TU_VAN'!$K$10)&gt;0,EDATE('1_PHIEU_TU_VAN'!$K$10,COUNTIF($B$11:$B27,"&gt;"&amp;'1_PHIEU_TU_VAN'!$K$10)+1),MIN(EDATE('1_PHIEU_TU_VAN'!$K$9,17),'1_PHIEU_TU_VAN'!$K$10)))</f>
        <v>46812</v>
      </c>
      <c r="C28" s="71" t="str">
        <f>IF(B28="","",IF(B28='1_PHIEU_TU_VAN'!$K$9,"Ký HĐMB",IF(B28='1_PHIEU_TU_VAN'!$K$10,"Nhận nhà dự kiến",IF(B28&lt;'1_PHIEU_TU_VAN'!$K$10,"Sau 17 tháng","Sau nhận nhà "&amp;TEXT(COUNTIF($B$11:B28,"&gt;"&amp;'1_PHIEU_TU_VAN'!$K$10),"00")&amp;" tháng"))))</f>
        <v>Sau nhận nhà 08 tháng</v>
      </c>
      <c r="D28" s="72">
        <f>IF(B28="","",IF(B28='1_PHIEU_TU_VAN'!$K$10,MAX(0,'8_THAM_SO'!$C$6-N($G27)),IF(B28&lt;'1_PHIEU_TU_VAN'!$K$10,4%,IF(N($G27)&gt;=95%,0,MIN(3%,95%-N($G27))))))</f>
        <v>0.03</v>
      </c>
      <c r="E28" s="75">
        <f t="shared" si="0"/>
        <v>279191220</v>
      </c>
      <c r="F28" s="75">
        <f t="shared" si="1"/>
        <v>6886716760.0000019</v>
      </c>
      <c r="G28" s="72">
        <f t="shared" si="2"/>
        <v>0.74000000000000021</v>
      </c>
      <c r="H28" s="73" t="str">
        <f>IF(B28="","",IF(B28='1_PHIEU_TU_VAN'!$K$9,"Đã bao gồm 100 triệu đặt cọc",IF(B28='1_PHIEU_TU_VAN'!$K$10,"Mốc nhận nhà dự kiến","")))</f>
        <v/>
      </c>
    </row>
    <row r="29" spans="1:8">
      <c r="A29" s="71" t="str">
        <f>IF(B29="","","Đợt "&amp;COUNT($B$11:B29))</f>
        <v>Đợt 19</v>
      </c>
      <c r="B29" s="74">
        <f>IF(N($G28)&gt;=95%,"",IF(COUNTIF($B$11:$B28,'1_PHIEU_TU_VAN'!$K$10)&gt;0,EDATE('1_PHIEU_TU_VAN'!$K$10,COUNTIF($B$11:$B28,"&gt;"&amp;'1_PHIEU_TU_VAN'!$K$10)+1),MIN(EDATE('1_PHIEU_TU_VAN'!$K$9,18),'1_PHIEU_TU_VAN'!$K$10)))</f>
        <v>46842</v>
      </c>
      <c r="C29" s="71" t="str">
        <f>IF(B29="","",IF(B29='1_PHIEU_TU_VAN'!$K$9,"Ký HĐMB",IF(B29='1_PHIEU_TU_VAN'!$K$10,"Nhận nhà dự kiến",IF(B29&lt;'1_PHIEU_TU_VAN'!$K$10,"Sau 18 tháng","Sau nhận nhà "&amp;TEXT(COUNTIF($B$11:B29,"&gt;"&amp;'1_PHIEU_TU_VAN'!$K$10),"00")&amp;" tháng"))))</f>
        <v>Sau nhận nhà 09 tháng</v>
      </c>
      <c r="D29" s="72">
        <f>IF(B29="","",IF(B29='1_PHIEU_TU_VAN'!$K$10,MAX(0,'8_THAM_SO'!$C$6-N($G28)),IF(B29&lt;'1_PHIEU_TU_VAN'!$K$10,4%,IF(N($G28)&gt;=95%,0,MIN(3%,95%-N($G28))))))</f>
        <v>0.03</v>
      </c>
      <c r="E29" s="75">
        <f t="shared" si="0"/>
        <v>279191220</v>
      </c>
      <c r="F29" s="75">
        <f t="shared" si="1"/>
        <v>7165907980.0000019</v>
      </c>
      <c r="G29" s="72">
        <f t="shared" si="2"/>
        <v>0.77000000000000024</v>
      </c>
      <c r="H29" s="73" t="str">
        <f>IF(B29="","",IF(B29='1_PHIEU_TU_VAN'!$K$9,"Đã bao gồm 100 triệu đặt cọc",IF(B29='1_PHIEU_TU_VAN'!$K$10,"Mốc nhận nhà dự kiến","")))</f>
        <v/>
      </c>
    </row>
    <row r="30" spans="1:8">
      <c r="A30" s="71" t="str">
        <f>IF(B30="","","Đợt "&amp;COUNT($B$11:B30))</f>
        <v>Đợt 20</v>
      </c>
      <c r="B30" s="74">
        <f>IF(N($G29)&gt;=95%,"",IF(COUNTIF($B$11:$B29,'1_PHIEU_TU_VAN'!$K$10)&gt;0,EDATE('1_PHIEU_TU_VAN'!$K$10,COUNTIF($B$11:$B29,"&gt;"&amp;'1_PHIEU_TU_VAN'!$K$10)+1),MIN(EDATE('1_PHIEU_TU_VAN'!$K$9,19),'1_PHIEU_TU_VAN'!$K$10)))</f>
        <v>46873</v>
      </c>
      <c r="C30" s="71" t="str">
        <f>IF(B30="","",IF(B30='1_PHIEU_TU_VAN'!$K$9,"Ký HĐMB",IF(B30='1_PHIEU_TU_VAN'!$K$10,"Nhận nhà dự kiến",IF(B30&lt;'1_PHIEU_TU_VAN'!$K$10,"Sau 19 tháng","Sau nhận nhà "&amp;TEXT(COUNTIF($B$11:B30,"&gt;"&amp;'1_PHIEU_TU_VAN'!$K$10),"00")&amp;" tháng"))))</f>
        <v>Sau nhận nhà 10 tháng</v>
      </c>
      <c r="D30" s="72">
        <f>IF(B30="","",IF(B30='1_PHIEU_TU_VAN'!$K$10,MAX(0,'8_THAM_SO'!$C$6-N($G29)),IF(B30&lt;'1_PHIEU_TU_VAN'!$K$10,4%,IF(N($G29)&gt;=95%,0,MIN(3%,95%-N($G29))))))</f>
        <v>0.03</v>
      </c>
      <c r="E30" s="75">
        <f t="shared" si="0"/>
        <v>279191220</v>
      </c>
      <c r="F30" s="75">
        <f t="shared" si="1"/>
        <v>7445099200.0000029</v>
      </c>
      <c r="G30" s="72">
        <f t="shared" si="2"/>
        <v>0.80000000000000027</v>
      </c>
      <c r="H30" s="73" t="str">
        <f>IF(B30="","",IF(B30='1_PHIEU_TU_VAN'!$K$9,"Đã bao gồm 100 triệu đặt cọc",IF(B30='1_PHIEU_TU_VAN'!$K$10,"Mốc nhận nhà dự kiến","")))</f>
        <v/>
      </c>
    </row>
    <row r="31" spans="1:8">
      <c r="A31" s="71" t="str">
        <f>IF(B31="","","Đợt "&amp;COUNT($B$11:B31))</f>
        <v>Đợt 21</v>
      </c>
      <c r="B31" s="74">
        <f>IF(N($G30)&gt;=95%,"",IF(COUNTIF($B$11:$B30,'1_PHIEU_TU_VAN'!$K$10)&gt;0,EDATE('1_PHIEU_TU_VAN'!$K$10,COUNTIF($B$11:$B30,"&gt;"&amp;'1_PHIEU_TU_VAN'!$K$10)+1),MIN(EDATE('1_PHIEU_TU_VAN'!$K$9,20),'1_PHIEU_TU_VAN'!$K$10)))</f>
        <v>46903</v>
      </c>
      <c r="C31" s="71" t="str">
        <f>IF(B31="","",IF(B31='1_PHIEU_TU_VAN'!$K$9,"Ký HĐMB",IF(B31='1_PHIEU_TU_VAN'!$K$10,"Nhận nhà dự kiến",IF(B31&lt;'1_PHIEU_TU_VAN'!$K$10,"Sau 20 tháng","Sau nhận nhà "&amp;TEXT(COUNTIF($B$11:B31,"&gt;"&amp;'1_PHIEU_TU_VAN'!$K$10),"00")&amp;" tháng"))))</f>
        <v>Sau nhận nhà 11 tháng</v>
      </c>
      <c r="D31" s="72">
        <f>IF(B31="","",IF(B31='1_PHIEU_TU_VAN'!$K$10,MAX(0,'8_THAM_SO'!$C$6-N($G30)),IF(B31&lt;'1_PHIEU_TU_VAN'!$K$10,4%,IF(N($G30)&gt;=95%,0,MIN(3%,95%-N($G30))))))</f>
        <v>0.03</v>
      </c>
      <c r="E31" s="75">
        <f t="shared" si="0"/>
        <v>279191220</v>
      </c>
      <c r="F31" s="75">
        <f t="shared" si="1"/>
        <v>7724290420.0000029</v>
      </c>
      <c r="G31" s="72">
        <f t="shared" si="2"/>
        <v>0.83000000000000029</v>
      </c>
      <c r="H31" s="73" t="str">
        <f>IF(B31="","",IF(B31='1_PHIEU_TU_VAN'!$K$9,"Đã bao gồm 100 triệu đặt cọc",IF(B31='1_PHIEU_TU_VAN'!$K$10,"Mốc nhận nhà dự kiến","")))</f>
        <v/>
      </c>
    </row>
    <row r="32" spans="1:8">
      <c r="A32" s="71" t="str">
        <f>IF(B32="","","Đợt "&amp;COUNT($B$11:B32))</f>
        <v>Đợt 22</v>
      </c>
      <c r="B32" s="74">
        <f>IF(N($G31)&gt;=95%,"",IF(COUNTIF($B$11:$B31,'1_PHIEU_TU_VAN'!$K$10)&gt;0,EDATE('1_PHIEU_TU_VAN'!$K$10,COUNTIF($B$11:$B31,"&gt;"&amp;'1_PHIEU_TU_VAN'!$K$10)+1),MIN(EDATE('1_PHIEU_TU_VAN'!$K$9,21),'1_PHIEU_TU_VAN'!$K$10)))</f>
        <v>46934</v>
      </c>
      <c r="C32" s="71" t="str">
        <f>IF(B32="","",IF(B32='1_PHIEU_TU_VAN'!$K$9,"Ký HĐMB",IF(B32='1_PHIEU_TU_VAN'!$K$10,"Nhận nhà dự kiến",IF(B32&lt;'1_PHIEU_TU_VAN'!$K$10,"Sau 21 tháng","Sau nhận nhà "&amp;TEXT(COUNTIF($B$11:B32,"&gt;"&amp;'1_PHIEU_TU_VAN'!$K$10),"00")&amp;" tháng"))))</f>
        <v>Sau nhận nhà 12 tháng</v>
      </c>
      <c r="D32" s="72">
        <f>IF(B32="","",IF(B32='1_PHIEU_TU_VAN'!$K$10,MAX(0,'8_THAM_SO'!$C$6-N($G31)),IF(B32&lt;'1_PHIEU_TU_VAN'!$K$10,4%,IF(N($G31)&gt;=95%,0,MIN(3%,95%-N($G31))))))</f>
        <v>0.03</v>
      </c>
      <c r="E32" s="75">
        <f t="shared" si="0"/>
        <v>279191220</v>
      </c>
      <c r="F32" s="75">
        <f t="shared" si="1"/>
        <v>8003481640.0000029</v>
      </c>
      <c r="G32" s="72">
        <f t="shared" si="2"/>
        <v>0.86000000000000032</v>
      </c>
      <c r="H32" s="73" t="str">
        <f>IF(B32="","",IF(B32='1_PHIEU_TU_VAN'!$K$9,"Đã bao gồm 100 triệu đặt cọc",IF(B32='1_PHIEU_TU_VAN'!$K$10,"Mốc nhận nhà dự kiến","")))</f>
        <v/>
      </c>
    </row>
    <row r="33" spans="1:8">
      <c r="A33" s="71" t="str">
        <f>IF(B33="","","Đợt "&amp;COUNT($B$11:B33))</f>
        <v>Đợt 23</v>
      </c>
      <c r="B33" s="74">
        <f>IF(N($G32)&gt;=95%,"",IF(COUNTIF($B$11:$B32,'1_PHIEU_TU_VAN'!$K$10)&gt;0,EDATE('1_PHIEU_TU_VAN'!$K$10,COUNTIF($B$11:$B32,"&gt;"&amp;'1_PHIEU_TU_VAN'!$K$10)+1),MIN(EDATE('1_PHIEU_TU_VAN'!$K$9,22),'1_PHIEU_TU_VAN'!$K$10)))</f>
        <v>46964</v>
      </c>
      <c r="C33" s="71" t="str">
        <f>IF(B33="","",IF(B33='1_PHIEU_TU_VAN'!$K$9,"Ký HĐMB",IF(B33='1_PHIEU_TU_VAN'!$K$10,"Nhận nhà dự kiến",IF(B33&lt;'1_PHIEU_TU_VAN'!$K$10,"Sau 22 tháng","Sau nhận nhà "&amp;TEXT(COUNTIF($B$11:B33,"&gt;"&amp;'1_PHIEU_TU_VAN'!$K$10),"00")&amp;" tháng"))))</f>
        <v>Sau nhận nhà 13 tháng</v>
      </c>
      <c r="D33" s="72">
        <f>IF(B33="","",IF(B33='1_PHIEU_TU_VAN'!$K$10,MAX(0,'8_THAM_SO'!$C$6-N($G32)),IF(B33&lt;'1_PHIEU_TU_VAN'!$K$10,4%,IF(N($G32)&gt;=95%,0,MIN(3%,95%-N($G32))))))</f>
        <v>0.03</v>
      </c>
      <c r="E33" s="75">
        <f t="shared" si="0"/>
        <v>279191220</v>
      </c>
      <c r="F33" s="75">
        <f t="shared" si="1"/>
        <v>8282672860.0000029</v>
      </c>
      <c r="G33" s="72">
        <f t="shared" si="2"/>
        <v>0.89000000000000035</v>
      </c>
      <c r="H33" s="73" t="str">
        <f>IF(B33="","",IF(B33='1_PHIEU_TU_VAN'!$K$9,"Đã bao gồm 100 triệu đặt cọc",IF(B33='1_PHIEU_TU_VAN'!$K$10,"Mốc nhận nhà dự kiến","")))</f>
        <v/>
      </c>
    </row>
    <row r="34" spans="1:8">
      <c r="A34" s="71" t="str">
        <f>IF(B34="","","Đợt "&amp;COUNT($B$11:B34))</f>
        <v>Đợt 24</v>
      </c>
      <c r="B34" s="74">
        <f>IF(N($G33)&gt;=95%,"",IF(COUNTIF($B$11:$B33,'1_PHIEU_TU_VAN'!$K$10)&gt;0,EDATE('1_PHIEU_TU_VAN'!$K$10,COUNTIF($B$11:$B33,"&gt;"&amp;'1_PHIEU_TU_VAN'!$K$10)+1),MIN(EDATE('1_PHIEU_TU_VAN'!$K$9,23),'1_PHIEU_TU_VAN'!$K$10)))</f>
        <v>46995</v>
      </c>
      <c r="C34" s="71" t="str">
        <f>IF(B34="","",IF(B34='1_PHIEU_TU_VAN'!$K$9,"Ký HĐMB",IF(B34='1_PHIEU_TU_VAN'!$K$10,"Nhận nhà dự kiến",IF(B34&lt;'1_PHIEU_TU_VAN'!$K$10,"Sau 23 tháng","Sau nhận nhà "&amp;TEXT(COUNTIF($B$11:B34,"&gt;"&amp;'1_PHIEU_TU_VAN'!$K$10),"00")&amp;" tháng"))))</f>
        <v>Sau nhận nhà 14 tháng</v>
      </c>
      <c r="D34" s="72">
        <f>IF(B34="","",IF(B34='1_PHIEU_TU_VAN'!$K$10,MAX(0,'8_THAM_SO'!$C$6-N($G33)),IF(B34&lt;'1_PHIEU_TU_VAN'!$K$10,4%,IF(N($G33)&gt;=95%,0,MIN(3%,95%-N($G33))))))</f>
        <v>0.03</v>
      </c>
      <c r="E34" s="75">
        <f t="shared" si="0"/>
        <v>279191220</v>
      </c>
      <c r="F34" s="75">
        <f t="shared" si="1"/>
        <v>8561864080.0000038</v>
      </c>
      <c r="G34" s="72">
        <f t="shared" si="2"/>
        <v>0.92000000000000037</v>
      </c>
      <c r="H34" s="73" t="str">
        <f>IF(B34="","",IF(B34='1_PHIEU_TU_VAN'!$K$9,"Đã bao gồm 100 triệu đặt cọc",IF(B34='1_PHIEU_TU_VAN'!$K$10,"Mốc nhận nhà dự kiến","")))</f>
        <v/>
      </c>
    </row>
    <row r="35" spans="1:8">
      <c r="A35" s="71" t="str">
        <f>IF(B35="","","Đợt "&amp;COUNT($B$11:B35))</f>
        <v>Đợt 25</v>
      </c>
      <c r="B35" s="74">
        <f>IF(N($G34)&gt;=95%,"",IF(COUNTIF($B$11:$B34,'1_PHIEU_TU_VAN'!$K$10)&gt;0,EDATE('1_PHIEU_TU_VAN'!$K$10,COUNTIF($B$11:$B34,"&gt;"&amp;'1_PHIEU_TU_VAN'!$K$10)+1),MIN(EDATE('1_PHIEU_TU_VAN'!$K$9,24),'1_PHIEU_TU_VAN'!$K$10)))</f>
        <v>47026</v>
      </c>
      <c r="C35" s="71" t="str">
        <f>IF(B35="","",IF(B35='1_PHIEU_TU_VAN'!$K$9,"Ký HĐMB",IF(B35='1_PHIEU_TU_VAN'!$K$10,"Nhận nhà dự kiến",IF(B35&lt;'1_PHIEU_TU_VAN'!$K$10,"Sau 24 tháng","Sau nhận nhà "&amp;TEXT(COUNTIF($B$11:B35,"&gt;"&amp;'1_PHIEU_TU_VAN'!$K$10),"00")&amp;" tháng"))))</f>
        <v>Sau nhận nhà 15 tháng</v>
      </c>
      <c r="D35" s="72">
        <f>IF(B35="","",IF(B35='1_PHIEU_TU_VAN'!$K$10,MAX(0,'8_THAM_SO'!$C$6-N($G34)),IF(B35&lt;'1_PHIEU_TU_VAN'!$K$10,4%,IF(N($G34)&gt;=95%,0,MIN(3%,95%-N($G34))))))</f>
        <v>2.9999999999999583E-2</v>
      </c>
      <c r="E35" s="75">
        <f t="shared" si="0"/>
        <v>279191219.99999613</v>
      </c>
      <c r="F35" s="75">
        <f t="shared" si="1"/>
        <v>8841055300</v>
      </c>
      <c r="G35" s="72">
        <f t="shared" si="2"/>
        <v>0.95</v>
      </c>
      <c r="H35" s="73" t="str">
        <f>IF(B35="","",IF(B35='1_PHIEU_TU_VAN'!$K$9,"Đã bao gồm 100 triệu đặt cọc",IF(B35='1_PHIEU_TU_VAN'!$K$10,"Mốc nhận nhà dự kiến","")))</f>
        <v/>
      </c>
    </row>
    <row r="36" spans="1:8">
      <c r="A36" s="71" t="str">
        <f>"Đợt "&amp;(COUNT($B$11:$B$35)+1)</f>
        <v>Đợt 26</v>
      </c>
      <c r="B36" s="74"/>
      <c r="C36" s="71" t="s">
        <v>59</v>
      </c>
      <c r="D36" s="72">
        <v>0.05</v>
      </c>
      <c r="E36" s="75">
        <f>$G$5*D36</f>
        <v>465318700</v>
      </c>
      <c r="F36" s="75">
        <f>$G$5*G36</f>
        <v>9306374000</v>
      </c>
      <c r="G36" s="72">
        <f>MAX(G11:G35)+D36</f>
        <v>1</v>
      </c>
      <c r="H36" s="73"/>
    </row>
    <row r="37" spans="1:8" ht="14.5">
      <c r="A37" s="56" t="s">
        <v>60</v>
      </c>
      <c r="B37" s="56"/>
      <c r="C37" s="56"/>
      <c r="D37" s="57">
        <f>SUM($D$11:$D$36)</f>
        <v>1</v>
      </c>
      <c r="E37" s="76">
        <f>SUM($E$11:$E$36)</f>
        <v>9306373999.9999962</v>
      </c>
      <c r="F37" s="76"/>
      <c r="G37" s="57"/>
      <c r="H37" s="56" t="s">
        <v>66</v>
      </c>
    </row>
    <row r="38" spans="1:8">
      <c r="E38" s="55"/>
      <c r="F38" s="55"/>
    </row>
    <row r="39" spans="1:8">
      <c r="E39" s="55"/>
      <c r="F39" s="55"/>
    </row>
    <row r="40" spans="1:8">
      <c r="E40" s="55"/>
      <c r="F40" s="55"/>
    </row>
    <row r="41" spans="1:8">
      <c r="E41" s="55"/>
      <c r="F41" s="55"/>
    </row>
    <row r="42" spans="1:8">
      <c r="E42" s="55"/>
      <c r="F42" s="55"/>
    </row>
    <row r="43" spans="1:8">
      <c r="E43" s="55"/>
      <c r="F43" s="55"/>
    </row>
    <row r="44" spans="1:8">
      <c r="E44" s="55"/>
      <c r="F44" s="55"/>
    </row>
    <row r="45" spans="1:8">
      <c r="E45" s="55"/>
      <c r="F45" s="55"/>
    </row>
    <row r="46" spans="1:8">
      <c r="E46" s="55"/>
      <c r="F46" s="55"/>
    </row>
    <row r="47" spans="1:8">
      <c r="E47" s="55"/>
      <c r="F47" s="55"/>
    </row>
    <row r="48" spans="1:8">
      <c r="E48" s="55"/>
      <c r="F48" s="55"/>
    </row>
    <row r="49" spans="5:6">
      <c r="E49" s="55"/>
      <c r="F49" s="55"/>
    </row>
    <row r="50" spans="5:6">
      <c r="E50" s="55"/>
      <c r="F50" s="55"/>
    </row>
    <row r="51" spans="5:6">
      <c r="E51" s="55"/>
      <c r="F51" s="55"/>
    </row>
    <row r="52" spans="5:6">
      <c r="E52" s="55"/>
      <c r="F52" s="55"/>
    </row>
    <row r="53" spans="5:6">
      <c r="E53" s="55"/>
      <c r="F53" s="55"/>
    </row>
    <row r="54" spans="5:6">
      <c r="E54" s="55"/>
      <c r="F54" s="55"/>
    </row>
    <row r="55" spans="5:6">
      <c r="E55" s="55"/>
      <c r="F55" s="55"/>
    </row>
    <row r="56" spans="5:6">
      <c r="E56" s="55"/>
      <c r="F56" s="55"/>
    </row>
    <row r="57" spans="5:6">
      <c r="E57" s="55"/>
      <c r="F57" s="55"/>
    </row>
    <row r="58" spans="5:6">
      <c r="E58" s="55"/>
      <c r="F58" s="55"/>
    </row>
    <row r="59" spans="5:6">
      <c r="E59" s="55"/>
      <c r="F59" s="55"/>
    </row>
    <row r="60" spans="5:6">
      <c r="E60" s="55"/>
      <c r="F60" s="55"/>
    </row>
    <row r="61" spans="5:6">
      <c r="E61" s="55"/>
      <c r="F61" s="55"/>
    </row>
    <row r="62" spans="5:6">
      <c r="E62" s="55"/>
      <c r="F62" s="55"/>
    </row>
    <row r="63" spans="5:6">
      <c r="E63" s="55"/>
      <c r="F63" s="55"/>
    </row>
    <row r="64" spans="5:6">
      <c r="E64" s="55"/>
      <c r="F64" s="55"/>
    </row>
    <row r="65" spans="5:6">
      <c r="E65" s="55"/>
      <c r="F65" s="55"/>
    </row>
    <row r="66" spans="5:6">
      <c r="E66" s="55"/>
      <c r="F66" s="55"/>
    </row>
    <row r="67" spans="5:6">
      <c r="E67" s="55"/>
      <c r="F67" s="55"/>
    </row>
    <row r="68" spans="5:6">
      <c r="E68" s="55"/>
      <c r="F68" s="55"/>
    </row>
    <row r="69" spans="5:6">
      <c r="E69" s="55"/>
      <c r="F69" s="55"/>
    </row>
    <row r="70" spans="5:6">
      <c r="E70" s="55"/>
      <c r="F70" s="55"/>
    </row>
    <row r="71" spans="5:6">
      <c r="E71" s="55"/>
      <c r="F71" s="55"/>
    </row>
    <row r="72" spans="5:6">
      <c r="E72" s="55"/>
      <c r="F72" s="55"/>
    </row>
    <row r="73" spans="5:6">
      <c r="E73" s="55"/>
      <c r="F73" s="55"/>
    </row>
    <row r="74" spans="5:6">
      <c r="E74" s="55"/>
      <c r="F74" s="55"/>
    </row>
    <row r="75" spans="5:6">
      <c r="E75" s="55"/>
      <c r="F75" s="55"/>
    </row>
    <row r="76" spans="5:6">
      <c r="E76" s="55"/>
      <c r="F76" s="55"/>
    </row>
    <row r="77" spans="5:6">
      <c r="E77" s="55"/>
      <c r="F77" s="55"/>
    </row>
    <row r="78" spans="5:6">
      <c r="E78" s="55"/>
      <c r="F78" s="55"/>
    </row>
    <row r="79" spans="5:6">
      <c r="E79" s="55"/>
      <c r="F79" s="55"/>
    </row>
    <row r="80" spans="5:6">
      <c r="E80" s="55"/>
      <c r="F80" s="55"/>
    </row>
    <row r="81" spans="5:6">
      <c r="E81" s="55"/>
      <c r="F81" s="55"/>
    </row>
    <row r="82" spans="5:6">
      <c r="E82" s="55"/>
      <c r="F82" s="55"/>
    </row>
    <row r="83" spans="5:6">
      <c r="E83" s="55"/>
      <c r="F83" s="55"/>
    </row>
    <row r="84" spans="5:6">
      <c r="E84" s="55"/>
      <c r="F84" s="55"/>
    </row>
    <row r="85" spans="5:6">
      <c r="E85" s="55"/>
      <c r="F85" s="55"/>
    </row>
    <row r="86" spans="5:6">
      <c r="E86" s="55"/>
      <c r="F86" s="55"/>
    </row>
    <row r="87" spans="5:6">
      <c r="E87" s="55"/>
      <c r="F87" s="55"/>
    </row>
    <row r="88" spans="5:6">
      <c r="E88" s="55"/>
      <c r="F88" s="55"/>
    </row>
    <row r="89" spans="5:6">
      <c r="E89" s="55"/>
      <c r="F89" s="55"/>
    </row>
    <row r="90" spans="5:6">
      <c r="E90" s="55"/>
      <c r="F90" s="55"/>
    </row>
    <row r="91" spans="5:6">
      <c r="E91" s="55"/>
      <c r="F91" s="55"/>
    </row>
    <row r="92" spans="5:6">
      <c r="E92" s="55"/>
      <c r="F92" s="55"/>
    </row>
    <row r="93" spans="5:6">
      <c r="E93" s="55"/>
      <c r="F93" s="55"/>
    </row>
    <row r="94" spans="5:6">
      <c r="E94" s="55"/>
      <c r="F94" s="55"/>
    </row>
    <row r="95" spans="5:6">
      <c r="E95" s="55"/>
      <c r="F95" s="55"/>
    </row>
    <row r="96" spans="5:6">
      <c r="E96" s="55"/>
      <c r="F96" s="55"/>
    </row>
    <row r="97" spans="5:6">
      <c r="E97" s="55"/>
      <c r="F97" s="55"/>
    </row>
    <row r="98" spans="5:6">
      <c r="E98" s="55"/>
      <c r="F98" s="55"/>
    </row>
    <row r="99" spans="5:6">
      <c r="E99" s="55"/>
      <c r="F99" s="55"/>
    </row>
    <row r="100" spans="5:6">
      <c r="E100" s="55"/>
      <c r="F100" s="55"/>
    </row>
    <row r="101" spans="5:6">
      <c r="E101" s="55"/>
      <c r="F101" s="55"/>
    </row>
    <row r="102" spans="5:6">
      <c r="E102" s="55"/>
      <c r="F102" s="55"/>
    </row>
    <row r="103" spans="5:6">
      <c r="E103" s="55"/>
      <c r="F103" s="55"/>
    </row>
    <row r="104" spans="5:6">
      <c r="E104" s="55"/>
      <c r="F104" s="55"/>
    </row>
    <row r="105" spans="5:6">
      <c r="E105" s="55"/>
      <c r="F105" s="55"/>
    </row>
    <row r="106" spans="5:6">
      <c r="E106" s="55"/>
      <c r="F106" s="55"/>
    </row>
    <row r="107" spans="5:6">
      <c r="E107" s="55"/>
      <c r="F107" s="55"/>
    </row>
    <row r="108" spans="5:6">
      <c r="E108" s="55"/>
      <c r="F108" s="55"/>
    </row>
    <row r="109" spans="5:6">
      <c r="E109" s="55"/>
      <c r="F109" s="55"/>
    </row>
    <row r="110" spans="5:6">
      <c r="E110" s="55"/>
      <c r="F110" s="55"/>
    </row>
    <row r="111" spans="5:6">
      <c r="E111" s="55"/>
      <c r="F111" s="55"/>
    </row>
    <row r="112" spans="5:6">
      <c r="E112" s="55"/>
      <c r="F112" s="55"/>
    </row>
    <row r="113" spans="5:6">
      <c r="E113" s="55"/>
      <c r="F113" s="55"/>
    </row>
    <row r="114" spans="5:6">
      <c r="E114" s="55"/>
      <c r="F114" s="55"/>
    </row>
    <row r="115" spans="5:6">
      <c r="E115" s="55"/>
      <c r="F115" s="55"/>
    </row>
    <row r="116" spans="5:6">
      <c r="E116" s="55"/>
      <c r="F116" s="55"/>
    </row>
    <row r="117" spans="5:6">
      <c r="E117" s="55"/>
      <c r="F117" s="55"/>
    </row>
    <row r="118" spans="5:6">
      <c r="E118" s="55"/>
      <c r="F118" s="55"/>
    </row>
    <row r="119" spans="5:6">
      <c r="E119" s="55"/>
      <c r="F119" s="55"/>
    </row>
    <row r="120" spans="5:6">
      <c r="E120" s="55"/>
      <c r="F120" s="55"/>
    </row>
    <row r="121" spans="5:6">
      <c r="E121" s="55"/>
      <c r="F121" s="55"/>
    </row>
    <row r="122" spans="5:6">
      <c r="E122" s="55"/>
      <c r="F122" s="55"/>
    </row>
    <row r="123" spans="5:6">
      <c r="E123" s="55"/>
      <c r="F123" s="55"/>
    </row>
    <row r="124" spans="5:6">
      <c r="E124" s="55"/>
      <c r="F124" s="55"/>
    </row>
    <row r="125" spans="5:6">
      <c r="E125" s="55"/>
      <c r="F125" s="55"/>
    </row>
    <row r="126" spans="5:6">
      <c r="E126" s="55"/>
      <c r="F126" s="55"/>
    </row>
    <row r="127" spans="5:6">
      <c r="E127" s="55"/>
      <c r="F127" s="55"/>
    </row>
    <row r="128" spans="5:6">
      <c r="E128" s="55"/>
      <c r="F128" s="55"/>
    </row>
    <row r="129" spans="5:6">
      <c r="E129" s="55"/>
      <c r="F129" s="55"/>
    </row>
    <row r="130" spans="5:6">
      <c r="E130" s="55"/>
      <c r="F130" s="55"/>
    </row>
    <row r="131" spans="5:6">
      <c r="E131" s="55"/>
      <c r="F131" s="55"/>
    </row>
    <row r="132" spans="5:6">
      <c r="E132" s="55"/>
      <c r="F132" s="55"/>
    </row>
    <row r="133" spans="5:6">
      <c r="E133" s="55"/>
      <c r="F133" s="55"/>
    </row>
    <row r="134" spans="5:6">
      <c r="E134" s="55"/>
      <c r="F134" s="55"/>
    </row>
    <row r="135" spans="5:6">
      <c r="E135" s="55"/>
      <c r="F135" s="55"/>
    </row>
    <row r="136" spans="5:6">
      <c r="E136" s="55"/>
      <c r="F136" s="55"/>
    </row>
    <row r="137" spans="5:6">
      <c r="E137" s="55"/>
      <c r="F137" s="55"/>
    </row>
    <row r="138" spans="5:6">
      <c r="E138" s="55"/>
      <c r="F138" s="55"/>
    </row>
    <row r="139" spans="5:6">
      <c r="E139" s="55"/>
      <c r="F139" s="55"/>
    </row>
    <row r="140" spans="5:6">
      <c r="E140" s="55"/>
      <c r="F140" s="55"/>
    </row>
    <row r="141" spans="5:6">
      <c r="E141" s="55"/>
      <c r="F141" s="55"/>
    </row>
    <row r="142" spans="5:6">
      <c r="E142" s="55"/>
      <c r="F142" s="55"/>
    </row>
    <row r="143" spans="5:6">
      <c r="E143" s="55"/>
      <c r="F143" s="55"/>
    </row>
    <row r="144" spans="5:6">
      <c r="E144" s="55"/>
      <c r="F144" s="55"/>
    </row>
    <row r="145" spans="5:6">
      <c r="E145" s="55"/>
      <c r="F145" s="55"/>
    </row>
    <row r="146" spans="5:6">
      <c r="E146" s="55"/>
      <c r="F146" s="55"/>
    </row>
    <row r="147" spans="5:6">
      <c r="E147" s="55"/>
      <c r="F147" s="55"/>
    </row>
    <row r="148" spans="5:6">
      <c r="E148" s="55"/>
      <c r="F148" s="55"/>
    </row>
    <row r="149" spans="5:6">
      <c r="E149" s="55"/>
      <c r="F149" s="55"/>
    </row>
    <row r="150" spans="5:6">
      <c r="E150" s="55"/>
      <c r="F150" s="55"/>
    </row>
    <row r="151" spans="5:6">
      <c r="E151" s="55"/>
      <c r="F151" s="55"/>
    </row>
    <row r="152" spans="5:6">
      <c r="E152" s="55"/>
      <c r="F152" s="55"/>
    </row>
    <row r="153" spans="5:6">
      <c r="E153" s="55"/>
      <c r="F153" s="55"/>
    </row>
    <row r="154" spans="5:6">
      <c r="E154" s="55"/>
      <c r="F154" s="55"/>
    </row>
    <row r="155" spans="5:6">
      <c r="E155" s="55"/>
      <c r="F155" s="55"/>
    </row>
    <row r="156" spans="5:6">
      <c r="E156" s="55"/>
      <c r="F156" s="55"/>
    </row>
    <row r="157" spans="5:6">
      <c r="E157" s="55"/>
      <c r="F157" s="55"/>
    </row>
    <row r="158" spans="5:6">
      <c r="E158" s="55"/>
      <c r="F158" s="55"/>
    </row>
    <row r="159" spans="5:6">
      <c r="E159" s="55"/>
      <c r="F159" s="55"/>
    </row>
    <row r="160" spans="5:6">
      <c r="E160" s="55"/>
      <c r="F160" s="55"/>
    </row>
    <row r="161" spans="5:6">
      <c r="E161" s="55"/>
      <c r="F161" s="55"/>
    </row>
    <row r="162" spans="5:6">
      <c r="E162" s="55"/>
      <c r="F162" s="55"/>
    </row>
    <row r="163" spans="5:6">
      <c r="E163" s="55"/>
      <c r="F163" s="55"/>
    </row>
    <row r="164" spans="5:6">
      <c r="E164" s="55"/>
      <c r="F164" s="55"/>
    </row>
    <row r="165" spans="5:6">
      <c r="E165" s="55"/>
      <c r="F165" s="55"/>
    </row>
    <row r="166" spans="5:6">
      <c r="E166" s="55"/>
      <c r="F166" s="55"/>
    </row>
    <row r="167" spans="5:6">
      <c r="E167" s="55"/>
      <c r="F167" s="55"/>
    </row>
    <row r="168" spans="5:6">
      <c r="E168" s="55"/>
      <c r="F168" s="55"/>
    </row>
    <row r="169" spans="5:6">
      <c r="E169" s="55"/>
      <c r="F169" s="55"/>
    </row>
    <row r="170" spans="5:6">
      <c r="E170" s="55"/>
      <c r="F170" s="55"/>
    </row>
    <row r="171" spans="5:6">
      <c r="E171" s="55"/>
      <c r="F171" s="55"/>
    </row>
    <row r="172" spans="5:6">
      <c r="E172" s="55"/>
      <c r="F172" s="55"/>
    </row>
    <row r="173" spans="5:6">
      <c r="E173" s="55"/>
      <c r="F173" s="55"/>
    </row>
    <row r="174" spans="5:6">
      <c r="E174" s="55"/>
      <c r="F174" s="55"/>
    </row>
    <row r="175" spans="5:6">
      <c r="E175" s="55"/>
      <c r="F175" s="55"/>
    </row>
    <row r="176" spans="5:6">
      <c r="E176" s="55"/>
      <c r="F176" s="55"/>
    </row>
    <row r="177" spans="5:6">
      <c r="E177" s="55"/>
      <c r="F177" s="55"/>
    </row>
    <row r="178" spans="5:6">
      <c r="E178" s="55"/>
      <c r="F178" s="55"/>
    </row>
    <row r="179" spans="5:6">
      <c r="E179" s="55"/>
      <c r="F179" s="55"/>
    </row>
    <row r="180" spans="5:6">
      <c r="E180" s="55"/>
      <c r="F180" s="55"/>
    </row>
    <row r="181" spans="5:6">
      <c r="E181" s="55"/>
      <c r="F181" s="55"/>
    </row>
    <row r="182" spans="5:6">
      <c r="E182" s="55"/>
      <c r="F182" s="55"/>
    </row>
    <row r="183" spans="5:6">
      <c r="E183" s="55"/>
      <c r="F183" s="55"/>
    </row>
    <row r="184" spans="5:6">
      <c r="E184" s="55"/>
      <c r="F184" s="55"/>
    </row>
    <row r="185" spans="5:6">
      <c r="E185" s="55"/>
      <c r="F185" s="55"/>
    </row>
    <row r="186" spans="5:6">
      <c r="E186" s="55"/>
      <c r="F186" s="55"/>
    </row>
    <row r="187" spans="5:6">
      <c r="E187" s="55"/>
      <c r="F187" s="55"/>
    </row>
    <row r="188" spans="5:6">
      <c r="E188" s="55"/>
      <c r="F188" s="55"/>
    </row>
    <row r="189" spans="5:6">
      <c r="E189" s="55"/>
      <c r="F189" s="55"/>
    </row>
    <row r="190" spans="5:6">
      <c r="E190" s="55"/>
      <c r="F190" s="55"/>
    </row>
    <row r="191" spans="5:6">
      <c r="E191" s="55"/>
      <c r="F191" s="55"/>
    </row>
    <row r="192" spans="5:6">
      <c r="E192" s="55"/>
      <c r="F192" s="55"/>
    </row>
    <row r="193" spans="5:6">
      <c r="E193" s="55"/>
      <c r="F193" s="55"/>
    </row>
    <row r="194" spans="5:6">
      <c r="E194" s="55"/>
      <c r="F194" s="55"/>
    </row>
    <row r="195" spans="5:6">
      <c r="E195" s="55"/>
      <c r="F195" s="55"/>
    </row>
    <row r="196" spans="5:6">
      <c r="E196" s="55"/>
      <c r="F196" s="55"/>
    </row>
    <row r="197" spans="5:6">
      <c r="E197" s="55"/>
      <c r="F197" s="55"/>
    </row>
    <row r="198" spans="5:6">
      <c r="E198" s="55"/>
      <c r="F198" s="55"/>
    </row>
    <row r="199" spans="5:6">
      <c r="E199" s="55"/>
      <c r="F199" s="55"/>
    </row>
    <row r="200" spans="5:6">
      <c r="E200" s="55"/>
      <c r="F200" s="55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B40190F-B95B-43E7-859C-BA8F81EB16FF}">
            <xm:f>$B11='1_PHIEU_TU_VAN'!$K$10</xm:f>
            <x14:dxf>
              <font>
                <b/>
                <i val="0"/>
              </font>
              <fill>
                <patternFill>
                  <bgColor rgb="FFE3E8D4"/>
                </patternFill>
              </fill>
            </x14:dxf>
          </x14:cfRule>
          <xm:sqref>A11:H37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showGridLines="0" workbookViewId="0">
      <selection activeCell="C49" sqref="C49"/>
    </sheetView>
  </sheetViews>
  <sheetFormatPr defaultColWidth="8.75" defaultRowHeight="14"/>
  <cols>
    <col min="1" max="1" width="11" style="15" customWidth="1"/>
    <col min="2" max="2" width="15" style="15" customWidth="1"/>
    <col min="3" max="3" width="25" style="15" customWidth="1"/>
    <col min="4" max="4" width="12" style="15" customWidth="1"/>
    <col min="5" max="5" width="18" style="15" customWidth="1"/>
    <col min="6" max="6" width="20" style="15" customWidth="1"/>
    <col min="7" max="7" width="14" style="15" customWidth="1"/>
    <col min="8" max="8" width="24" style="15" customWidth="1"/>
    <col min="9" max="16384" width="8.75" style="15"/>
  </cols>
  <sheetData>
    <row r="1" spans="1:8" ht="18.5">
      <c r="A1" s="52" t="s">
        <v>69</v>
      </c>
      <c r="B1" s="52"/>
      <c r="C1" s="52"/>
      <c r="D1" s="52"/>
      <c r="E1" s="52"/>
      <c r="F1" s="52"/>
      <c r="G1" s="52"/>
      <c r="H1" s="52"/>
    </row>
    <row r="3" spans="1:8">
      <c r="A3" s="53" t="s">
        <v>40</v>
      </c>
      <c r="B3" s="64" t="str">
        <f>'1_PHIEU_TU_VAN'!B7</f>
        <v>2PN</v>
      </c>
      <c r="C3" s="53" t="s">
        <v>41</v>
      </c>
      <c r="D3" s="63">
        <f>IF('1_PHIEU_TU_VAN'!K7="Có",'8_THAM_SO'!$B$16,0)</f>
        <v>0.03</v>
      </c>
      <c r="F3" s="54" t="s">
        <v>42</v>
      </c>
      <c r="G3" s="65">
        <f>'1_PHIEU_TU_VAN'!F7*1000000000</f>
        <v>8900000000</v>
      </c>
    </row>
    <row r="4" spans="1:8">
      <c r="A4" s="60" t="s">
        <v>43</v>
      </c>
      <c r="B4" s="64">
        <f>'1_PHIEU_TU_VAN'!B9</f>
        <v>74.709999999999994</v>
      </c>
      <c r="C4" s="53" t="s">
        <v>26</v>
      </c>
      <c r="D4" s="63">
        <f>INDEX('8_THAM_SO'!$B$4:$B$9,MATCH("36 tháng",'8_THAM_SO'!$A$4:$A$9,0))</f>
        <v>0.01</v>
      </c>
      <c r="F4" s="53" t="s">
        <v>44</v>
      </c>
      <c r="G4" s="65">
        <f>G3*(1-D3)*(1-D4)*(1-D5)</f>
        <v>8546670000</v>
      </c>
    </row>
    <row r="5" spans="1:8">
      <c r="A5" s="60" t="s">
        <v>45</v>
      </c>
      <c r="B5" s="64">
        <f>'1_PHIEU_TU_VAN'!B8</f>
        <v>65.760000000000005</v>
      </c>
      <c r="C5" s="54" t="s">
        <v>46</v>
      </c>
      <c r="D5" s="63">
        <f>IF('1_PHIEU_TU_VAN'!B11&gt;=5,'8_THAM_SO'!$B$19,IF('1_PHIEU_TU_VAN'!B11&gt;=3,'8_THAM_SO'!$B$18,IF('1_PHIEU_TU_VAN'!B11=2,'8_THAM_SO'!$B$17,0)))</f>
        <v>0</v>
      </c>
      <c r="F5" s="54" t="s">
        <v>47</v>
      </c>
      <c r="G5" s="65">
        <f>G4*(1+'8_THAM_SO'!$B$14)</f>
        <v>9401337000</v>
      </c>
    </row>
    <row r="6" spans="1:8">
      <c r="C6" s="54" t="s">
        <v>27</v>
      </c>
      <c r="D6" s="63">
        <f>1-(1-D3)*(1-D4)*(1-D5)</f>
        <v>3.9700000000000069E-2</v>
      </c>
    </row>
    <row r="9" spans="1:8">
      <c r="A9" s="58" t="s">
        <v>48</v>
      </c>
      <c r="B9" s="58" t="s">
        <v>49</v>
      </c>
      <c r="C9" s="58" t="s">
        <v>50</v>
      </c>
      <c r="D9" s="58" t="s">
        <v>63</v>
      </c>
      <c r="E9" s="58" t="s">
        <v>64</v>
      </c>
      <c r="F9" s="58" t="s">
        <v>56</v>
      </c>
      <c r="G9" s="58" t="s">
        <v>65</v>
      </c>
      <c r="H9" s="58" t="s">
        <v>57</v>
      </c>
    </row>
    <row r="10" spans="1:8">
      <c r="A10" s="41"/>
      <c r="B10" s="42">
        <f>'1_PHIEU_TU_VAN'!$K$9-7</f>
        <v>46288</v>
      </c>
      <c r="C10" s="41" t="s">
        <v>58</v>
      </c>
      <c r="D10" s="41"/>
      <c r="E10" s="49">
        <f>'8_THAM_SO'!$B$13</f>
        <v>100000000</v>
      </c>
      <c r="F10" s="49">
        <f>E10</f>
        <v>100000000</v>
      </c>
      <c r="G10" s="41"/>
      <c r="H10" s="43"/>
    </row>
    <row r="11" spans="1:8">
      <c r="A11" s="71" t="str">
        <f>IF(B11="","","Đợt "&amp;COUNT($B$11:B11))</f>
        <v>Đợt 1</v>
      </c>
      <c r="B11" s="74">
        <f>'1_PHIEU_TU_VAN'!$K$9</f>
        <v>46295</v>
      </c>
      <c r="C11" s="71" t="str">
        <f>IF(B11="","",IF(B11='1_PHIEU_TU_VAN'!$K$9,"Ký HĐMB",IF(B11='1_PHIEU_TU_VAN'!$K$10,"Nhận nhà dự kiến",IF(B11&lt;'1_PHIEU_TU_VAN'!$K$10,"Sau 00 tháng","Sau nhận nhà "&amp;TEXT(COUNTIF($B$11:B11,"&gt;"&amp;'1_PHIEU_TU_VAN'!$K$10),"00")&amp;" tháng"))))</f>
        <v>Ký HĐMB</v>
      </c>
      <c r="D11" s="72">
        <f>IF(B11="","",IF(B11='1_PHIEU_TU_VAN'!$K$10,MAX(0,'8_THAM_SO'!$C$5-0),IF(B11&lt;'1_PHIEU_TU_VAN'!$K$10,15%,IF(0&gt;=95%,0,MIN(2.5%,95%-0)))))</f>
        <v>0.15</v>
      </c>
      <c r="E11" s="75">
        <f t="shared" ref="E11:E47" si="0">IF(D11="","",$G$5*D11)</f>
        <v>1410200550</v>
      </c>
      <c r="F11" s="75">
        <f>IF(G11="","",$G$5*G11)</f>
        <v>1410200550</v>
      </c>
      <c r="G11" s="72">
        <f>IF(D11="","",0+D11)</f>
        <v>0.15</v>
      </c>
      <c r="H11" s="73" t="str">
        <f>IF(B11="","",IF(B11='1_PHIEU_TU_VAN'!$K$9,"Đã bao gồm 100 triệu đặt cọc",IF(B11='1_PHIEU_TU_VAN'!$K$10,"Mốc nhận nhà dự kiến","")))</f>
        <v>Đã bao gồm 100 triệu đặt cọc</v>
      </c>
    </row>
    <row r="12" spans="1:8">
      <c r="A12" s="71" t="str">
        <f>IF(B12="","","Đợt "&amp;COUNT($B$11:B12))</f>
        <v>Đợt 2</v>
      </c>
      <c r="B12" s="74">
        <f>IF(N($G11)&gt;=95%,"",IF(COUNTIF($B$11:$B11,'1_PHIEU_TU_VAN'!$K$10)&gt;0,EDATE('1_PHIEU_TU_VAN'!$K$10,COUNTIF($B$11:$B11,"&gt;"&amp;'1_PHIEU_TU_VAN'!$K$10)+1),MIN(EDATE('1_PHIEU_TU_VAN'!$K$9,1),'1_PHIEU_TU_VAN'!$K$10)))</f>
        <v>46325</v>
      </c>
      <c r="C12" s="71" t="str">
        <f>IF(B12="","",IF(B12='1_PHIEU_TU_VAN'!$K$9,"Ký HĐMB",IF(B12='1_PHIEU_TU_VAN'!$K$10,"Nhận nhà dự kiến",IF(B12&lt;'1_PHIEU_TU_VAN'!$K$10,"Sau 01 tháng","Sau nhận nhà "&amp;TEXT(COUNTIF($B$11:B12,"&gt;"&amp;'1_PHIEU_TU_VAN'!$K$10),"00")&amp;" tháng"))))</f>
        <v>Sau 01 tháng</v>
      </c>
      <c r="D12" s="72">
        <f>IF(B12="","",IF(B12='1_PHIEU_TU_VAN'!$K$10,MAX(0,'8_THAM_SO'!$C$5-N($G11)),IF(B12&lt;'1_PHIEU_TU_VAN'!$K$10,3%,IF(N($G11)&gt;=95%,0,MIN(2.5%,95%-N($G11))))))</f>
        <v>0.03</v>
      </c>
      <c r="E12" s="75">
        <f t="shared" si="0"/>
        <v>282040110</v>
      </c>
      <c r="F12" s="75">
        <f>IF(G12="","",$G$5*G12)</f>
        <v>1692240660</v>
      </c>
      <c r="G12" s="72">
        <f t="shared" ref="G12:G47" si="1">IF(D12="","",N($G11)+D12)</f>
        <v>0.18</v>
      </c>
      <c r="H12" s="73" t="str">
        <f>IF(B12="","",IF(B12='1_PHIEU_TU_VAN'!$K$9,"Đã bao gồm 100 triệu đặt cọc",IF(B12='1_PHIEU_TU_VAN'!$K$10,"Mốc nhận nhà dự kiến","")))</f>
        <v/>
      </c>
    </row>
    <row r="13" spans="1:8">
      <c r="A13" s="71" t="str">
        <f>IF(B13="","","Đợt "&amp;COUNT($B$11:B13))</f>
        <v>Đợt 3</v>
      </c>
      <c r="B13" s="74">
        <f>IF(N($G12)&gt;=95%,"",IF(COUNTIF($B$11:$B12,'1_PHIEU_TU_VAN'!$K$10)&gt;0,EDATE('1_PHIEU_TU_VAN'!$K$10,COUNTIF($B$11:$B12,"&gt;"&amp;'1_PHIEU_TU_VAN'!$K$10)+1),MIN(EDATE('1_PHIEU_TU_VAN'!$K$9,2),'1_PHIEU_TU_VAN'!$K$10)))</f>
        <v>46356</v>
      </c>
      <c r="C13" s="71" t="str">
        <f>IF(B13="","",IF(B13='1_PHIEU_TU_VAN'!$K$9,"Ký HĐMB",IF(B13='1_PHIEU_TU_VAN'!$K$10,"Nhận nhà dự kiến",IF(B13&lt;'1_PHIEU_TU_VAN'!$K$10,"Sau 02 tháng","Sau nhận nhà "&amp;TEXT(COUNTIF($B$11:B13,"&gt;"&amp;'1_PHIEU_TU_VAN'!$K$10),"00")&amp;" tháng"))))</f>
        <v>Sau 02 tháng</v>
      </c>
      <c r="D13" s="72">
        <f>IF(B13="","",IF(B13='1_PHIEU_TU_VAN'!$K$10,MAX(0,'8_THAM_SO'!$C$5-N($G12)),IF(B13&lt;'1_PHIEU_TU_VAN'!$K$10,3%,IF(N($G12)&gt;=95%,0,MIN(2.5%,95%-N($G12))))))</f>
        <v>0.03</v>
      </c>
      <c r="E13" s="75">
        <f t="shared" si="0"/>
        <v>282040110</v>
      </c>
      <c r="F13" s="75">
        <f t="shared" ref="F13:F47" si="2">IF(G13="","",$G$5*G13)</f>
        <v>1974280770</v>
      </c>
      <c r="G13" s="72">
        <f t="shared" si="1"/>
        <v>0.21</v>
      </c>
      <c r="H13" s="73" t="str">
        <f>IF(B13="","",IF(B13='1_PHIEU_TU_VAN'!$K$9,"Đã bao gồm 100 triệu đặt cọc",IF(B13='1_PHIEU_TU_VAN'!$K$10,"Mốc nhận nhà dự kiến","")))</f>
        <v/>
      </c>
    </row>
    <row r="14" spans="1:8">
      <c r="A14" s="71" t="str">
        <f>IF(B14="","","Đợt "&amp;COUNT($B$11:B14))</f>
        <v>Đợt 4</v>
      </c>
      <c r="B14" s="74">
        <f>IF(N($G13)&gt;=95%,"",IF(COUNTIF($B$11:$B13,'1_PHIEU_TU_VAN'!$K$10)&gt;0,EDATE('1_PHIEU_TU_VAN'!$K$10,COUNTIF($B$11:$B13,"&gt;"&amp;'1_PHIEU_TU_VAN'!$K$10)+1),MIN(EDATE('1_PHIEU_TU_VAN'!$K$9,3),'1_PHIEU_TU_VAN'!$K$10)))</f>
        <v>46386</v>
      </c>
      <c r="C14" s="71" t="str">
        <f>IF(B14="","",IF(B14='1_PHIEU_TU_VAN'!$K$9,"Ký HĐMB",IF(B14='1_PHIEU_TU_VAN'!$K$10,"Nhận nhà dự kiến",IF(B14&lt;'1_PHIEU_TU_VAN'!$K$10,"Sau 03 tháng","Sau nhận nhà "&amp;TEXT(COUNTIF($B$11:B14,"&gt;"&amp;'1_PHIEU_TU_VAN'!$K$10),"00")&amp;" tháng"))))</f>
        <v>Sau 03 tháng</v>
      </c>
      <c r="D14" s="72">
        <f>IF(B14="","",IF(B14='1_PHIEU_TU_VAN'!$K$10,MAX(0,'8_THAM_SO'!$C$5-N($G13)),IF(B14&lt;'1_PHIEU_TU_VAN'!$K$10,1%,IF(N($G13)&gt;=95%,0,MIN(2.5%,95%-N($G13))))))</f>
        <v>0.01</v>
      </c>
      <c r="E14" s="75">
        <f t="shared" si="0"/>
        <v>94013370</v>
      </c>
      <c r="F14" s="75">
        <f t="shared" si="2"/>
        <v>2068294140</v>
      </c>
      <c r="G14" s="72">
        <f t="shared" si="1"/>
        <v>0.22</v>
      </c>
      <c r="H14" s="73" t="str">
        <f>IF(B14="","",IF(B14='1_PHIEU_TU_VAN'!$K$9,"Đã bao gồm 100 triệu đặt cọc",IF(B14='1_PHIEU_TU_VAN'!$K$10,"Mốc nhận nhà dự kiến","")))</f>
        <v/>
      </c>
    </row>
    <row r="15" spans="1:8">
      <c r="A15" s="71" t="str">
        <f>IF(B15="","","Đợt "&amp;COUNT($B$11:B15))</f>
        <v>Đợt 5</v>
      </c>
      <c r="B15" s="74">
        <f>IF(N($G14)&gt;=95%,"",IF(COUNTIF($B$11:$B14,'1_PHIEU_TU_VAN'!$K$10)&gt;0,EDATE('1_PHIEU_TU_VAN'!$K$10,COUNTIF($B$11:$B14,"&gt;"&amp;'1_PHIEU_TU_VAN'!$K$10)+1),MIN(EDATE('1_PHIEU_TU_VAN'!$K$9,4),'1_PHIEU_TU_VAN'!$K$10)))</f>
        <v>46417</v>
      </c>
      <c r="C15" s="71" t="str">
        <f>IF(B15="","",IF(B15='1_PHIEU_TU_VAN'!$K$9,"Ký HĐMB",IF(B15='1_PHIEU_TU_VAN'!$K$10,"Nhận nhà dự kiến",IF(B15&lt;'1_PHIEU_TU_VAN'!$K$10,"Sau 04 tháng","Sau nhận nhà "&amp;TEXT(COUNTIF($B$11:B15,"&gt;"&amp;'1_PHIEU_TU_VAN'!$K$10),"00")&amp;" tháng"))))</f>
        <v>Sau 04 tháng</v>
      </c>
      <c r="D15" s="72">
        <f>IF(B15="","",IF(B15='1_PHIEU_TU_VAN'!$K$10,MAX(0,'8_THAM_SO'!$C$5-N($G14)),IF(B15&lt;'1_PHIEU_TU_VAN'!$K$10,1%,IF(N($G14)&gt;=95%,0,MIN(2.5%,95%-N($G14))))))</f>
        <v>0.01</v>
      </c>
      <c r="E15" s="75">
        <f t="shared" si="0"/>
        <v>94013370</v>
      </c>
      <c r="F15" s="75">
        <f t="shared" si="2"/>
        <v>2162307510</v>
      </c>
      <c r="G15" s="72">
        <f t="shared" si="1"/>
        <v>0.23</v>
      </c>
      <c r="H15" s="73" t="str">
        <f>IF(B15="","",IF(B15='1_PHIEU_TU_VAN'!$K$9,"Đã bao gồm 100 triệu đặt cọc",IF(B15='1_PHIEU_TU_VAN'!$K$10,"Mốc nhận nhà dự kiến","")))</f>
        <v/>
      </c>
    </row>
    <row r="16" spans="1:8">
      <c r="A16" s="71" t="str">
        <f>IF(B16="","","Đợt "&amp;COUNT($B$11:B16))</f>
        <v>Đợt 6</v>
      </c>
      <c r="B16" s="74">
        <f>IF(N($G15)&gt;=95%,"",IF(COUNTIF($B$11:$B15,'1_PHIEU_TU_VAN'!$K$10)&gt;0,EDATE('1_PHIEU_TU_VAN'!$K$10,COUNTIF($B$11:$B15,"&gt;"&amp;'1_PHIEU_TU_VAN'!$K$10)+1),MIN(EDATE('1_PHIEU_TU_VAN'!$K$9,5),'1_PHIEU_TU_VAN'!$K$10)))</f>
        <v>46446</v>
      </c>
      <c r="C16" s="71" t="str">
        <f>IF(B16="","",IF(B16='1_PHIEU_TU_VAN'!$K$9,"Ký HĐMB",IF(B16='1_PHIEU_TU_VAN'!$K$10,"Nhận nhà dự kiến",IF(B16&lt;'1_PHIEU_TU_VAN'!$K$10,"Sau 05 tháng","Sau nhận nhà "&amp;TEXT(COUNTIF($B$11:B16,"&gt;"&amp;'1_PHIEU_TU_VAN'!$K$10),"00")&amp;" tháng"))))</f>
        <v>Sau 05 tháng</v>
      </c>
      <c r="D16" s="72">
        <f>IF(B16="","",IF(B16='1_PHIEU_TU_VAN'!$K$10,MAX(0,'8_THAM_SO'!$C$5-N($G15)),IF(B16&lt;'1_PHIEU_TU_VAN'!$K$10,1%,IF(N($G15)&gt;=95%,0,MIN(2.5%,95%-N($G15))))))</f>
        <v>0.01</v>
      </c>
      <c r="E16" s="75">
        <f t="shared" si="0"/>
        <v>94013370</v>
      </c>
      <c r="F16" s="75">
        <f t="shared" si="2"/>
        <v>2256320880</v>
      </c>
      <c r="G16" s="72">
        <f t="shared" si="1"/>
        <v>0.24000000000000002</v>
      </c>
      <c r="H16" s="73" t="str">
        <f>IF(B16="","",IF(B16='1_PHIEU_TU_VAN'!$K$9,"Đã bao gồm 100 triệu đặt cọc",IF(B16='1_PHIEU_TU_VAN'!$K$10,"Mốc nhận nhà dự kiến","")))</f>
        <v/>
      </c>
    </row>
    <row r="17" spans="1:8">
      <c r="A17" s="71" t="str">
        <f>IF(B17="","","Đợt "&amp;COUNT($B$11:B17))</f>
        <v>Đợt 7</v>
      </c>
      <c r="B17" s="74">
        <f>IF(N($G16)&gt;=95%,"",IF(COUNTIF($B$11:$B16,'1_PHIEU_TU_VAN'!$K$10)&gt;0,EDATE('1_PHIEU_TU_VAN'!$K$10,COUNTIF($B$11:$B16,"&gt;"&amp;'1_PHIEU_TU_VAN'!$K$10)+1),MIN(EDATE('1_PHIEU_TU_VAN'!$K$9,6),'1_PHIEU_TU_VAN'!$K$10)))</f>
        <v>46476</v>
      </c>
      <c r="C17" s="71" t="str">
        <f>IF(B17="","",IF(B17='1_PHIEU_TU_VAN'!$K$9,"Ký HĐMB",IF(B17='1_PHIEU_TU_VAN'!$K$10,"Nhận nhà dự kiến",IF(B17&lt;'1_PHIEU_TU_VAN'!$K$10,"Sau 06 tháng","Sau nhận nhà "&amp;TEXT(COUNTIF($B$11:B17,"&gt;"&amp;'1_PHIEU_TU_VAN'!$K$10),"00")&amp;" tháng"))))</f>
        <v>Sau 06 tháng</v>
      </c>
      <c r="D17" s="72">
        <f>IF(B17="","",IF(B17='1_PHIEU_TU_VAN'!$K$10,MAX(0,'8_THAM_SO'!$C$5-N($G16)),IF(B17&lt;'1_PHIEU_TU_VAN'!$K$10,1%,IF(N($G16)&gt;=95%,0,MIN(2.5%,95%-N($G16))))))</f>
        <v>0.01</v>
      </c>
      <c r="E17" s="75">
        <f t="shared" si="0"/>
        <v>94013370</v>
      </c>
      <c r="F17" s="75">
        <f t="shared" si="2"/>
        <v>2350334250</v>
      </c>
      <c r="G17" s="72">
        <f t="shared" si="1"/>
        <v>0.25</v>
      </c>
      <c r="H17" s="73" t="str">
        <f>IF(B17="","",IF(B17='1_PHIEU_TU_VAN'!$K$9,"Đã bao gồm 100 triệu đặt cọc",IF(B17='1_PHIEU_TU_VAN'!$K$10,"Mốc nhận nhà dự kiến","")))</f>
        <v/>
      </c>
    </row>
    <row r="18" spans="1:8">
      <c r="A18" s="71" t="str">
        <f>IF(B18="","","Đợt "&amp;COUNT($B$11:B18))</f>
        <v>Đợt 8</v>
      </c>
      <c r="B18" s="74">
        <f>IF(N($G17)&gt;=95%,"",IF(COUNTIF($B$11:$B17,'1_PHIEU_TU_VAN'!$K$10)&gt;0,EDATE('1_PHIEU_TU_VAN'!$K$10,COUNTIF($B$11:$B17,"&gt;"&amp;'1_PHIEU_TU_VAN'!$K$10)+1),MIN(EDATE('1_PHIEU_TU_VAN'!$K$9,7),'1_PHIEU_TU_VAN'!$K$10)))</f>
        <v>46507</v>
      </c>
      <c r="C18" s="71" t="str">
        <f>IF(B18="","",IF(B18='1_PHIEU_TU_VAN'!$K$9,"Ký HĐMB",IF(B18='1_PHIEU_TU_VAN'!$K$10,"Nhận nhà dự kiến",IF(B18&lt;'1_PHIEU_TU_VAN'!$K$10,"Sau 07 tháng","Sau nhận nhà "&amp;TEXT(COUNTIF($B$11:B18,"&gt;"&amp;'1_PHIEU_TU_VAN'!$K$10),"00")&amp;" tháng"))))</f>
        <v>Sau 07 tháng</v>
      </c>
      <c r="D18" s="72">
        <f>IF(B18="","",IF(B18='1_PHIEU_TU_VAN'!$K$10,MAX(0,'8_THAM_SO'!$C$5-N($G17)),IF(B18&lt;'1_PHIEU_TU_VAN'!$K$10,1%,IF(N($G17)&gt;=95%,0,MIN(2.5%,95%-N($G17))))))</f>
        <v>0.01</v>
      </c>
      <c r="E18" s="75">
        <f t="shared" si="0"/>
        <v>94013370</v>
      </c>
      <c r="F18" s="75">
        <f t="shared" si="2"/>
        <v>2444347620</v>
      </c>
      <c r="G18" s="72">
        <f t="shared" si="1"/>
        <v>0.26</v>
      </c>
      <c r="H18" s="73" t="str">
        <f>IF(B18="","",IF(B18='1_PHIEU_TU_VAN'!$K$9,"Đã bao gồm 100 triệu đặt cọc",IF(B18='1_PHIEU_TU_VAN'!$K$10,"Mốc nhận nhà dự kiến","")))</f>
        <v/>
      </c>
    </row>
    <row r="19" spans="1:8">
      <c r="A19" s="71" t="str">
        <f>IF(B19="","","Đợt "&amp;COUNT($B$11:B19))</f>
        <v>Đợt 9</v>
      </c>
      <c r="B19" s="74">
        <f>IF(N($G18)&gt;=95%,"",IF(COUNTIF($B$11:$B18,'1_PHIEU_TU_VAN'!$K$10)&gt;0,EDATE('1_PHIEU_TU_VAN'!$K$10,COUNTIF($B$11:$B18,"&gt;"&amp;'1_PHIEU_TU_VAN'!$K$10)+1),MIN(EDATE('1_PHIEU_TU_VAN'!$K$9,8),'1_PHIEU_TU_VAN'!$K$10)))</f>
        <v>46537</v>
      </c>
      <c r="C19" s="71" t="str">
        <f>IF(B19="","",IF(B19='1_PHIEU_TU_VAN'!$K$9,"Ký HĐMB",IF(B19='1_PHIEU_TU_VAN'!$K$10,"Nhận nhà dự kiến",IF(B19&lt;'1_PHIEU_TU_VAN'!$K$10,"Sau 08 tháng","Sau nhận nhà "&amp;TEXT(COUNTIF($B$11:B19,"&gt;"&amp;'1_PHIEU_TU_VAN'!$K$10),"00")&amp;" tháng"))))</f>
        <v>Sau 08 tháng</v>
      </c>
      <c r="D19" s="72">
        <f>IF(B19="","",IF(B19='1_PHIEU_TU_VAN'!$K$10,MAX(0,'8_THAM_SO'!$C$5-N($G18)),IF(B19&lt;'1_PHIEU_TU_VAN'!$K$10,1%,IF(N($G18)&gt;=95%,0,MIN(2.5%,95%-N($G18))))))</f>
        <v>0.01</v>
      </c>
      <c r="E19" s="75">
        <f t="shared" si="0"/>
        <v>94013370</v>
      </c>
      <c r="F19" s="75">
        <f t="shared" si="2"/>
        <v>2538360990</v>
      </c>
      <c r="G19" s="72">
        <f t="shared" si="1"/>
        <v>0.27</v>
      </c>
      <c r="H19" s="73" t="str">
        <f>IF(B19="","",IF(B19='1_PHIEU_TU_VAN'!$K$9,"Đã bao gồm 100 triệu đặt cọc",IF(B19='1_PHIEU_TU_VAN'!$K$10,"Mốc nhận nhà dự kiến","")))</f>
        <v/>
      </c>
    </row>
    <row r="20" spans="1:8">
      <c r="A20" s="71" t="str">
        <f>IF(B20="","","Đợt "&amp;COUNT($B$11:B20))</f>
        <v>Đợt 10</v>
      </c>
      <c r="B20" s="74">
        <f>IF(N($G19)&gt;=95%,"",IF(COUNTIF($B$11:$B19,'1_PHIEU_TU_VAN'!$K$10)&gt;0,EDATE('1_PHIEU_TU_VAN'!$K$10,COUNTIF($B$11:$B19,"&gt;"&amp;'1_PHIEU_TU_VAN'!$K$10)+1),MIN(EDATE('1_PHIEU_TU_VAN'!$K$9,9),'1_PHIEU_TU_VAN'!$K$10)))</f>
        <v>46568</v>
      </c>
      <c r="C20" s="71" t="str">
        <f>IF(B20="","",IF(B20='1_PHIEU_TU_VAN'!$K$9,"Ký HĐMB",IF(B20='1_PHIEU_TU_VAN'!$K$10,"Nhận nhà dự kiến",IF(B20&lt;'1_PHIEU_TU_VAN'!$K$10,"Sau 09 tháng","Sau nhận nhà "&amp;TEXT(COUNTIF($B$11:B20,"&gt;"&amp;'1_PHIEU_TU_VAN'!$K$10),"00")&amp;" tháng"))))</f>
        <v>Nhận nhà dự kiến</v>
      </c>
      <c r="D20" s="72">
        <f>IF(B20="","",IF(B20='1_PHIEU_TU_VAN'!$K$10,MAX(0,'8_THAM_SO'!$C$5-N($G19)),IF(B20&lt;'1_PHIEU_TU_VAN'!$K$10,1%,IF(N($G19)&gt;=95%,0,MIN(2.5%,95%-N($G19))))))</f>
        <v>2.9999999999999971E-2</v>
      </c>
      <c r="E20" s="75">
        <f t="shared" si="0"/>
        <v>282040109.9999997</v>
      </c>
      <c r="F20" s="75">
        <f t="shared" si="2"/>
        <v>2820401100</v>
      </c>
      <c r="G20" s="72">
        <f t="shared" si="1"/>
        <v>0.3</v>
      </c>
      <c r="H20" s="73" t="str">
        <f>IF(B20="","",IF(B20='1_PHIEU_TU_VAN'!$K$9,"Đã bao gồm 100 triệu đặt cọc",IF(B20='1_PHIEU_TU_VAN'!$K$10,"Mốc nhận nhà dự kiến","")))</f>
        <v>Mốc nhận nhà dự kiến</v>
      </c>
    </row>
    <row r="21" spans="1:8">
      <c r="A21" s="71" t="str">
        <f>IF(B21="","","Đợt "&amp;COUNT($B$11:B21))</f>
        <v>Đợt 11</v>
      </c>
      <c r="B21" s="74">
        <f>IF(N($G20)&gt;=95%,"",IF(COUNTIF($B$11:$B20,'1_PHIEU_TU_VAN'!$K$10)&gt;0,EDATE('1_PHIEU_TU_VAN'!$K$10,COUNTIF($B$11:$B20,"&gt;"&amp;'1_PHIEU_TU_VAN'!$K$10)+1),MIN(EDATE('1_PHIEU_TU_VAN'!$K$9,10),'1_PHIEU_TU_VAN'!$K$10)))</f>
        <v>46598</v>
      </c>
      <c r="C21" s="71" t="str">
        <f>IF(B21="","",IF(B21='1_PHIEU_TU_VAN'!$K$9,"Ký HĐMB",IF(B21='1_PHIEU_TU_VAN'!$K$10,"Nhận nhà dự kiến",IF(B21&lt;'1_PHIEU_TU_VAN'!$K$10,"Sau 10 tháng","Sau nhận nhà "&amp;TEXT(COUNTIF($B$11:B21,"&gt;"&amp;'1_PHIEU_TU_VAN'!$K$10),"00")&amp;" tháng"))))</f>
        <v>Sau nhận nhà 01 tháng</v>
      </c>
      <c r="D21" s="72">
        <f>IF(B21="","",IF(B21='1_PHIEU_TU_VAN'!$K$10,MAX(0,'8_THAM_SO'!$C$5-N($G20)),IF(B21&lt;'1_PHIEU_TU_VAN'!$K$10,1%,IF(N($G20)&gt;=95%,0,MIN(2.5%,95%-N($G20))))))</f>
        <v>2.5000000000000001E-2</v>
      </c>
      <c r="E21" s="75">
        <f t="shared" si="0"/>
        <v>235033425</v>
      </c>
      <c r="F21" s="75">
        <f t="shared" si="2"/>
        <v>3055434525</v>
      </c>
      <c r="G21" s="72">
        <f t="shared" si="1"/>
        <v>0.32500000000000001</v>
      </c>
      <c r="H21" s="73" t="str">
        <f>IF(B21="","",IF(B21='1_PHIEU_TU_VAN'!$K$9,"Đã bao gồm 100 triệu đặt cọc",IF(B21='1_PHIEU_TU_VAN'!$K$10,"Mốc nhận nhà dự kiến","")))</f>
        <v/>
      </c>
    </row>
    <row r="22" spans="1:8">
      <c r="A22" s="71" t="str">
        <f>IF(B22="","","Đợt "&amp;COUNT($B$11:B22))</f>
        <v>Đợt 12</v>
      </c>
      <c r="B22" s="74">
        <f>IF(N($G21)&gt;=95%,"",IF(COUNTIF($B$11:$B21,'1_PHIEU_TU_VAN'!$K$10)&gt;0,EDATE('1_PHIEU_TU_VAN'!$K$10,COUNTIF($B$11:$B21,"&gt;"&amp;'1_PHIEU_TU_VAN'!$K$10)+1),MIN(EDATE('1_PHIEU_TU_VAN'!$K$9,11),'1_PHIEU_TU_VAN'!$K$10)))</f>
        <v>46629</v>
      </c>
      <c r="C22" s="71" t="str">
        <f>IF(B22="","",IF(B22='1_PHIEU_TU_VAN'!$K$9,"Ký HĐMB",IF(B22='1_PHIEU_TU_VAN'!$K$10,"Nhận nhà dự kiến",IF(B22&lt;'1_PHIEU_TU_VAN'!$K$10,"Sau 11 tháng","Sau nhận nhà "&amp;TEXT(COUNTIF($B$11:B22,"&gt;"&amp;'1_PHIEU_TU_VAN'!$K$10),"00")&amp;" tháng"))))</f>
        <v>Sau nhận nhà 02 tháng</v>
      </c>
      <c r="D22" s="72">
        <f>IF(B22="","",IF(B22='1_PHIEU_TU_VAN'!$K$10,MAX(0,'8_THAM_SO'!$C$5-N($G21)),IF(B22&lt;'1_PHIEU_TU_VAN'!$K$10,1%,IF(N($G21)&gt;=95%,0,MIN(2.5%,95%-N($G21))))))</f>
        <v>2.5000000000000001E-2</v>
      </c>
      <c r="E22" s="75">
        <f t="shared" si="0"/>
        <v>235033425</v>
      </c>
      <c r="F22" s="75">
        <f t="shared" si="2"/>
        <v>3290467950.0000005</v>
      </c>
      <c r="G22" s="72">
        <f t="shared" si="1"/>
        <v>0.35000000000000003</v>
      </c>
      <c r="H22" s="73" t="str">
        <f>IF(B22="","",IF(B22='1_PHIEU_TU_VAN'!$K$9,"Đã bao gồm 100 triệu đặt cọc",IF(B22='1_PHIEU_TU_VAN'!$K$10,"Mốc nhận nhà dự kiến","")))</f>
        <v/>
      </c>
    </row>
    <row r="23" spans="1:8">
      <c r="A23" s="71" t="str">
        <f>IF(B23="","","Đợt "&amp;COUNT($B$11:B23))</f>
        <v>Đợt 13</v>
      </c>
      <c r="B23" s="74">
        <f>IF(N($G22)&gt;=95%,"",IF(COUNTIF($B$11:$B22,'1_PHIEU_TU_VAN'!$K$10)&gt;0,EDATE('1_PHIEU_TU_VAN'!$K$10,COUNTIF($B$11:$B22,"&gt;"&amp;'1_PHIEU_TU_VAN'!$K$10)+1),MIN(EDATE('1_PHIEU_TU_VAN'!$K$9,12),'1_PHIEU_TU_VAN'!$K$10)))</f>
        <v>46660</v>
      </c>
      <c r="C23" s="71" t="str">
        <f>IF(B23="","",IF(B23='1_PHIEU_TU_VAN'!$K$9,"Ký HĐMB",IF(B23='1_PHIEU_TU_VAN'!$K$10,"Nhận nhà dự kiến",IF(B23&lt;'1_PHIEU_TU_VAN'!$K$10,"Sau 12 tháng","Sau nhận nhà "&amp;TEXT(COUNTIF($B$11:B23,"&gt;"&amp;'1_PHIEU_TU_VAN'!$K$10),"00")&amp;" tháng"))))</f>
        <v>Sau nhận nhà 03 tháng</v>
      </c>
      <c r="D23" s="72">
        <f>IF(B23="","",IF(B23='1_PHIEU_TU_VAN'!$K$10,MAX(0,'8_THAM_SO'!$C$5-N($G22)),IF(B23&lt;'1_PHIEU_TU_VAN'!$K$10,1%,IF(N($G22)&gt;=95%,0,MIN(2.5%,95%-N($G22))))))</f>
        <v>2.5000000000000001E-2</v>
      </c>
      <c r="E23" s="75">
        <f t="shared" si="0"/>
        <v>235033425</v>
      </c>
      <c r="F23" s="75">
        <f t="shared" si="2"/>
        <v>3525501375.0000005</v>
      </c>
      <c r="G23" s="72">
        <f t="shared" si="1"/>
        <v>0.37500000000000006</v>
      </c>
      <c r="H23" s="73" t="str">
        <f>IF(B23="","",IF(B23='1_PHIEU_TU_VAN'!$K$9,"Đã bao gồm 100 triệu đặt cọc",IF(B23='1_PHIEU_TU_VAN'!$K$10,"Mốc nhận nhà dự kiến","")))</f>
        <v/>
      </c>
    </row>
    <row r="24" spans="1:8">
      <c r="A24" s="71" t="str">
        <f>IF(B24="","","Đợt "&amp;COUNT($B$11:B24))</f>
        <v>Đợt 14</v>
      </c>
      <c r="B24" s="74">
        <f>IF(N($G23)&gt;=95%,"",IF(COUNTIF($B$11:$B23,'1_PHIEU_TU_VAN'!$K$10)&gt;0,EDATE('1_PHIEU_TU_VAN'!$K$10,COUNTIF($B$11:$B23,"&gt;"&amp;'1_PHIEU_TU_VAN'!$K$10)+1),MIN(EDATE('1_PHIEU_TU_VAN'!$K$9,13),'1_PHIEU_TU_VAN'!$K$10)))</f>
        <v>46690</v>
      </c>
      <c r="C24" s="71" t="str">
        <f>IF(B24="","",IF(B24='1_PHIEU_TU_VAN'!$K$9,"Ký HĐMB",IF(B24='1_PHIEU_TU_VAN'!$K$10,"Nhận nhà dự kiến",IF(B24&lt;'1_PHIEU_TU_VAN'!$K$10,"Sau 13 tháng","Sau nhận nhà "&amp;TEXT(COUNTIF($B$11:B24,"&gt;"&amp;'1_PHIEU_TU_VAN'!$K$10),"00")&amp;" tháng"))))</f>
        <v>Sau nhận nhà 04 tháng</v>
      </c>
      <c r="D24" s="72">
        <f>IF(B24="","",IF(B24='1_PHIEU_TU_VAN'!$K$10,MAX(0,'8_THAM_SO'!$C$5-N($G23)),IF(B24&lt;'1_PHIEU_TU_VAN'!$K$10,1%,IF(N($G23)&gt;=95%,0,MIN(2.5%,95%-N($G23))))))</f>
        <v>2.5000000000000001E-2</v>
      </c>
      <c r="E24" s="75">
        <f t="shared" si="0"/>
        <v>235033425</v>
      </c>
      <c r="F24" s="75">
        <f t="shared" si="2"/>
        <v>3760534800.000001</v>
      </c>
      <c r="G24" s="72">
        <f t="shared" si="1"/>
        <v>0.40000000000000008</v>
      </c>
      <c r="H24" s="73" t="str">
        <f>IF(B24="","",IF(B24='1_PHIEU_TU_VAN'!$K$9,"Đã bao gồm 100 triệu đặt cọc",IF(B24='1_PHIEU_TU_VAN'!$K$10,"Mốc nhận nhà dự kiến","")))</f>
        <v/>
      </c>
    </row>
    <row r="25" spans="1:8">
      <c r="A25" s="71" t="str">
        <f>IF(B25="","","Đợt "&amp;COUNT($B$11:B25))</f>
        <v>Đợt 15</v>
      </c>
      <c r="B25" s="74">
        <f>IF(N($G24)&gt;=95%,"",IF(COUNTIF($B$11:$B24,'1_PHIEU_TU_VAN'!$K$10)&gt;0,EDATE('1_PHIEU_TU_VAN'!$K$10,COUNTIF($B$11:$B24,"&gt;"&amp;'1_PHIEU_TU_VAN'!$K$10)+1),MIN(EDATE('1_PHIEU_TU_VAN'!$K$9,14),'1_PHIEU_TU_VAN'!$K$10)))</f>
        <v>46721</v>
      </c>
      <c r="C25" s="71" t="str">
        <f>IF(B25="","",IF(B25='1_PHIEU_TU_VAN'!$K$9,"Ký HĐMB",IF(B25='1_PHIEU_TU_VAN'!$K$10,"Nhận nhà dự kiến",IF(B25&lt;'1_PHIEU_TU_VAN'!$K$10,"Sau 14 tháng","Sau nhận nhà "&amp;TEXT(COUNTIF($B$11:B25,"&gt;"&amp;'1_PHIEU_TU_VAN'!$K$10),"00")&amp;" tháng"))))</f>
        <v>Sau nhận nhà 05 tháng</v>
      </c>
      <c r="D25" s="72">
        <f>IF(B25="","",IF(B25='1_PHIEU_TU_VAN'!$K$10,MAX(0,'8_THAM_SO'!$C$5-N($G24)),IF(B25&lt;'1_PHIEU_TU_VAN'!$K$10,1%,IF(N($G24)&gt;=95%,0,MIN(2.5%,95%-N($G24))))))</f>
        <v>2.5000000000000001E-2</v>
      </c>
      <c r="E25" s="75">
        <f t="shared" si="0"/>
        <v>235033425</v>
      </c>
      <c r="F25" s="75">
        <f t="shared" si="2"/>
        <v>3995568225.000001</v>
      </c>
      <c r="G25" s="72">
        <f t="shared" si="1"/>
        <v>0.4250000000000001</v>
      </c>
      <c r="H25" s="73" t="str">
        <f>IF(B25="","",IF(B25='1_PHIEU_TU_VAN'!$K$9,"Đã bao gồm 100 triệu đặt cọc",IF(B25='1_PHIEU_TU_VAN'!$K$10,"Mốc nhận nhà dự kiến","")))</f>
        <v/>
      </c>
    </row>
    <row r="26" spans="1:8">
      <c r="A26" s="71" t="str">
        <f>IF(B26="","","Đợt "&amp;COUNT($B$11:B26))</f>
        <v>Đợt 16</v>
      </c>
      <c r="B26" s="74">
        <f>IF(N($G25)&gt;=95%,"",IF(COUNTIF($B$11:$B25,'1_PHIEU_TU_VAN'!$K$10)&gt;0,EDATE('1_PHIEU_TU_VAN'!$K$10,COUNTIF($B$11:$B25,"&gt;"&amp;'1_PHIEU_TU_VAN'!$K$10)+1),MIN(EDATE('1_PHIEU_TU_VAN'!$K$9,15),'1_PHIEU_TU_VAN'!$K$10)))</f>
        <v>46751</v>
      </c>
      <c r="C26" s="71" t="str">
        <f>IF(B26="","",IF(B26='1_PHIEU_TU_VAN'!$K$9,"Ký HĐMB",IF(B26='1_PHIEU_TU_VAN'!$K$10,"Nhận nhà dự kiến",IF(B26&lt;'1_PHIEU_TU_VAN'!$K$10,"Sau 15 tháng","Sau nhận nhà "&amp;TEXT(COUNTIF($B$11:B26,"&gt;"&amp;'1_PHIEU_TU_VAN'!$K$10),"00")&amp;" tháng"))))</f>
        <v>Sau nhận nhà 06 tháng</v>
      </c>
      <c r="D26" s="72">
        <f>IF(B26="","",IF(B26='1_PHIEU_TU_VAN'!$K$10,MAX(0,'8_THAM_SO'!$C$5-N($G25)),IF(B26&lt;'1_PHIEU_TU_VAN'!$K$10,1%,IF(N($G25)&gt;=95%,0,MIN(2.5%,95%-N($G25))))))</f>
        <v>2.5000000000000001E-2</v>
      </c>
      <c r="E26" s="75">
        <f t="shared" si="0"/>
        <v>235033425</v>
      </c>
      <c r="F26" s="75">
        <f t="shared" si="2"/>
        <v>4230601650.000001</v>
      </c>
      <c r="G26" s="72">
        <f t="shared" si="1"/>
        <v>0.45000000000000012</v>
      </c>
      <c r="H26" s="73" t="str">
        <f>IF(B26="","",IF(B26='1_PHIEU_TU_VAN'!$K$9,"Đã bao gồm 100 triệu đặt cọc",IF(B26='1_PHIEU_TU_VAN'!$K$10,"Mốc nhận nhà dự kiến","")))</f>
        <v/>
      </c>
    </row>
    <row r="27" spans="1:8">
      <c r="A27" s="71" t="str">
        <f>IF(B27="","","Đợt "&amp;COUNT($B$11:B27))</f>
        <v>Đợt 17</v>
      </c>
      <c r="B27" s="74">
        <f>IF(N($G26)&gt;=95%,"",IF(COUNTIF($B$11:$B26,'1_PHIEU_TU_VAN'!$K$10)&gt;0,EDATE('1_PHIEU_TU_VAN'!$K$10,COUNTIF($B$11:$B26,"&gt;"&amp;'1_PHIEU_TU_VAN'!$K$10)+1),MIN(EDATE('1_PHIEU_TU_VAN'!$K$9,16),'1_PHIEU_TU_VAN'!$K$10)))</f>
        <v>46782</v>
      </c>
      <c r="C27" s="71" t="str">
        <f>IF(B27="","",IF(B27='1_PHIEU_TU_VAN'!$K$9,"Ký HĐMB",IF(B27='1_PHIEU_TU_VAN'!$K$10,"Nhận nhà dự kiến",IF(B27&lt;'1_PHIEU_TU_VAN'!$K$10,"Sau 16 tháng","Sau nhận nhà "&amp;TEXT(COUNTIF($B$11:B27,"&gt;"&amp;'1_PHIEU_TU_VAN'!$K$10),"00")&amp;" tháng"))))</f>
        <v>Sau nhận nhà 07 tháng</v>
      </c>
      <c r="D27" s="72">
        <f>IF(B27="","",IF(B27='1_PHIEU_TU_VAN'!$K$10,MAX(0,'8_THAM_SO'!$C$5-N($G26)),IF(B27&lt;'1_PHIEU_TU_VAN'!$K$10,1%,IF(N($G26)&gt;=95%,0,MIN(2.5%,95%-N($G26))))))</f>
        <v>2.5000000000000001E-2</v>
      </c>
      <c r="E27" s="75">
        <f t="shared" si="0"/>
        <v>235033425</v>
      </c>
      <c r="F27" s="75">
        <f t="shared" si="2"/>
        <v>4465635075.000001</v>
      </c>
      <c r="G27" s="72">
        <f t="shared" si="1"/>
        <v>0.47500000000000014</v>
      </c>
      <c r="H27" s="73" t="str">
        <f>IF(B27="","",IF(B27='1_PHIEU_TU_VAN'!$K$9,"Đã bao gồm 100 triệu đặt cọc",IF(B27='1_PHIEU_TU_VAN'!$K$10,"Mốc nhận nhà dự kiến","")))</f>
        <v/>
      </c>
    </row>
    <row r="28" spans="1:8">
      <c r="A28" s="71" t="str">
        <f>IF(B28="","","Đợt "&amp;COUNT($B$11:B28))</f>
        <v>Đợt 18</v>
      </c>
      <c r="B28" s="74">
        <f>IF(N($G27)&gt;=95%,"",IF(COUNTIF($B$11:$B27,'1_PHIEU_TU_VAN'!$K$10)&gt;0,EDATE('1_PHIEU_TU_VAN'!$K$10,COUNTIF($B$11:$B27,"&gt;"&amp;'1_PHIEU_TU_VAN'!$K$10)+1),MIN(EDATE('1_PHIEU_TU_VAN'!$K$9,17),'1_PHIEU_TU_VAN'!$K$10)))</f>
        <v>46812</v>
      </c>
      <c r="C28" s="71" t="str">
        <f>IF(B28="","",IF(B28='1_PHIEU_TU_VAN'!$K$9,"Ký HĐMB",IF(B28='1_PHIEU_TU_VAN'!$K$10,"Nhận nhà dự kiến",IF(B28&lt;'1_PHIEU_TU_VAN'!$K$10,"Sau 17 tháng","Sau nhận nhà "&amp;TEXT(COUNTIF($B$11:B28,"&gt;"&amp;'1_PHIEU_TU_VAN'!$K$10),"00")&amp;" tháng"))))</f>
        <v>Sau nhận nhà 08 tháng</v>
      </c>
      <c r="D28" s="72">
        <f>IF(B28="","",IF(B28='1_PHIEU_TU_VAN'!$K$10,MAX(0,'8_THAM_SO'!$C$5-N($G27)),IF(B28&lt;'1_PHIEU_TU_VAN'!$K$10,1%,IF(N($G27)&gt;=95%,0,MIN(2.5%,95%-N($G27))))))</f>
        <v>2.5000000000000001E-2</v>
      </c>
      <c r="E28" s="75">
        <f t="shared" si="0"/>
        <v>235033425</v>
      </c>
      <c r="F28" s="75">
        <f t="shared" si="2"/>
        <v>4700668500.000001</v>
      </c>
      <c r="G28" s="72">
        <f t="shared" si="1"/>
        <v>0.50000000000000011</v>
      </c>
      <c r="H28" s="73" t="str">
        <f>IF(B28="","",IF(B28='1_PHIEU_TU_VAN'!$K$9,"Đã bao gồm 100 triệu đặt cọc",IF(B28='1_PHIEU_TU_VAN'!$K$10,"Mốc nhận nhà dự kiến","")))</f>
        <v/>
      </c>
    </row>
    <row r="29" spans="1:8">
      <c r="A29" s="71" t="str">
        <f>IF(B29="","","Đợt "&amp;COUNT($B$11:B29))</f>
        <v>Đợt 19</v>
      </c>
      <c r="B29" s="74">
        <f>IF(N($G28)&gt;=95%,"",IF(COUNTIF($B$11:$B28,'1_PHIEU_TU_VAN'!$K$10)&gt;0,EDATE('1_PHIEU_TU_VAN'!$K$10,COUNTIF($B$11:$B28,"&gt;"&amp;'1_PHIEU_TU_VAN'!$K$10)+1),MIN(EDATE('1_PHIEU_TU_VAN'!$K$9,18),'1_PHIEU_TU_VAN'!$K$10)))</f>
        <v>46842</v>
      </c>
      <c r="C29" s="71" t="str">
        <f>IF(B29="","",IF(B29='1_PHIEU_TU_VAN'!$K$9,"Ký HĐMB",IF(B29='1_PHIEU_TU_VAN'!$K$10,"Nhận nhà dự kiến",IF(B29&lt;'1_PHIEU_TU_VAN'!$K$10,"Sau 18 tháng","Sau nhận nhà "&amp;TEXT(COUNTIF($B$11:B29,"&gt;"&amp;'1_PHIEU_TU_VAN'!$K$10),"00")&amp;" tháng"))))</f>
        <v>Sau nhận nhà 09 tháng</v>
      </c>
      <c r="D29" s="72">
        <f>IF(B29="","",IF(B29='1_PHIEU_TU_VAN'!$K$10,MAX(0,'8_THAM_SO'!$C$5-N($G28)),IF(B29&lt;'1_PHIEU_TU_VAN'!$K$10,1%,IF(N($G28)&gt;=95%,0,MIN(2.5%,95%-N($G28))))))</f>
        <v>2.5000000000000001E-2</v>
      </c>
      <c r="E29" s="75">
        <f t="shared" si="0"/>
        <v>235033425</v>
      </c>
      <c r="F29" s="75">
        <f t="shared" si="2"/>
        <v>4935701925.000001</v>
      </c>
      <c r="G29" s="72">
        <f t="shared" si="1"/>
        <v>0.52500000000000013</v>
      </c>
      <c r="H29" s="73" t="str">
        <f>IF(B29="","",IF(B29='1_PHIEU_TU_VAN'!$K$9,"Đã bao gồm 100 triệu đặt cọc",IF(B29='1_PHIEU_TU_VAN'!$K$10,"Mốc nhận nhà dự kiến","")))</f>
        <v/>
      </c>
    </row>
    <row r="30" spans="1:8">
      <c r="A30" s="71" t="str">
        <f>IF(B30="","","Đợt "&amp;COUNT($B$11:B30))</f>
        <v>Đợt 20</v>
      </c>
      <c r="B30" s="74">
        <f>IF(N($G29)&gt;=95%,"",IF(COUNTIF($B$11:$B29,'1_PHIEU_TU_VAN'!$K$10)&gt;0,EDATE('1_PHIEU_TU_VAN'!$K$10,COUNTIF($B$11:$B29,"&gt;"&amp;'1_PHIEU_TU_VAN'!$K$10)+1),MIN(EDATE('1_PHIEU_TU_VAN'!$K$9,19),'1_PHIEU_TU_VAN'!$K$10)))</f>
        <v>46873</v>
      </c>
      <c r="C30" s="71" t="str">
        <f>IF(B30="","",IF(B30='1_PHIEU_TU_VAN'!$K$9,"Ký HĐMB",IF(B30='1_PHIEU_TU_VAN'!$K$10,"Nhận nhà dự kiến",IF(B30&lt;'1_PHIEU_TU_VAN'!$K$10,"Sau 19 tháng","Sau nhận nhà "&amp;TEXT(COUNTIF($B$11:B30,"&gt;"&amp;'1_PHIEU_TU_VAN'!$K$10),"00")&amp;" tháng"))))</f>
        <v>Sau nhận nhà 10 tháng</v>
      </c>
      <c r="D30" s="72">
        <f>IF(B30="","",IF(B30='1_PHIEU_TU_VAN'!$K$10,MAX(0,'8_THAM_SO'!$C$5-N($G29)),IF(B30&lt;'1_PHIEU_TU_VAN'!$K$10,1%,IF(N($G29)&gt;=95%,0,MIN(2.5%,95%-N($G29))))))</f>
        <v>2.5000000000000001E-2</v>
      </c>
      <c r="E30" s="75">
        <f t="shared" si="0"/>
        <v>235033425</v>
      </c>
      <c r="F30" s="75">
        <f t="shared" si="2"/>
        <v>5170735350.0000019</v>
      </c>
      <c r="G30" s="72">
        <f t="shared" si="1"/>
        <v>0.55000000000000016</v>
      </c>
      <c r="H30" s="73" t="str">
        <f>IF(B30="","",IF(B30='1_PHIEU_TU_VAN'!$K$9,"Đã bao gồm 100 triệu đặt cọc",IF(B30='1_PHIEU_TU_VAN'!$K$10,"Mốc nhận nhà dự kiến","")))</f>
        <v/>
      </c>
    </row>
    <row r="31" spans="1:8">
      <c r="A31" s="71" t="str">
        <f>IF(B31="","","Đợt "&amp;COUNT($B$11:B31))</f>
        <v>Đợt 21</v>
      </c>
      <c r="B31" s="74">
        <f>IF(N($G30)&gt;=95%,"",IF(COUNTIF($B$11:$B30,'1_PHIEU_TU_VAN'!$K$10)&gt;0,EDATE('1_PHIEU_TU_VAN'!$K$10,COUNTIF($B$11:$B30,"&gt;"&amp;'1_PHIEU_TU_VAN'!$K$10)+1),MIN(EDATE('1_PHIEU_TU_VAN'!$K$9,20),'1_PHIEU_TU_VAN'!$K$10)))</f>
        <v>46903</v>
      </c>
      <c r="C31" s="71" t="str">
        <f>IF(B31="","",IF(B31='1_PHIEU_TU_VAN'!$K$9,"Ký HĐMB",IF(B31='1_PHIEU_TU_VAN'!$K$10,"Nhận nhà dự kiến",IF(B31&lt;'1_PHIEU_TU_VAN'!$K$10,"Sau 20 tháng","Sau nhận nhà "&amp;TEXT(COUNTIF($B$11:B31,"&gt;"&amp;'1_PHIEU_TU_VAN'!$K$10),"00")&amp;" tháng"))))</f>
        <v>Sau nhận nhà 11 tháng</v>
      </c>
      <c r="D31" s="72">
        <f>IF(B31="","",IF(B31='1_PHIEU_TU_VAN'!$K$10,MAX(0,'8_THAM_SO'!$C$5-N($G30)),IF(B31&lt;'1_PHIEU_TU_VAN'!$K$10,1%,IF(N($G30)&gt;=95%,0,MIN(2.5%,95%-N($G30))))))</f>
        <v>2.5000000000000001E-2</v>
      </c>
      <c r="E31" s="75">
        <f t="shared" si="0"/>
        <v>235033425</v>
      </c>
      <c r="F31" s="75">
        <f t="shared" si="2"/>
        <v>5405768775.0000019</v>
      </c>
      <c r="G31" s="72">
        <f t="shared" si="1"/>
        <v>0.57500000000000018</v>
      </c>
      <c r="H31" s="73" t="str">
        <f>IF(B31="","",IF(B31='1_PHIEU_TU_VAN'!$K$9,"Đã bao gồm 100 triệu đặt cọc",IF(B31='1_PHIEU_TU_VAN'!$K$10,"Mốc nhận nhà dự kiến","")))</f>
        <v/>
      </c>
    </row>
    <row r="32" spans="1:8">
      <c r="A32" s="71" t="str">
        <f>IF(B32="","","Đợt "&amp;COUNT($B$11:B32))</f>
        <v>Đợt 22</v>
      </c>
      <c r="B32" s="74">
        <f>IF(N($G31)&gt;=95%,"",IF(COUNTIF($B$11:$B31,'1_PHIEU_TU_VAN'!$K$10)&gt;0,EDATE('1_PHIEU_TU_VAN'!$K$10,COUNTIF($B$11:$B31,"&gt;"&amp;'1_PHIEU_TU_VAN'!$K$10)+1),MIN(EDATE('1_PHIEU_TU_VAN'!$K$9,21),'1_PHIEU_TU_VAN'!$K$10)))</f>
        <v>46934</v>
      </c>
      <c r="C32" s="71" t="str">
        <f>IF(B32="","",IF(B32='1_PHIEU_TU_VAN'!$K$9,"Ký HĐMB",IF(B32='1_PHIEU_TU_VAN'!$K$10,"Nhận nhà dự kiến",IF(B32&lt;'1_PHIEU_TU_VAN'!$K$10,"Sau 21 tháng","Sau nhận nhà "&amp;TEXT(COUNTIF($B$11:B32,"&gt;"&amp;'1_PHIEU_TU_VAN'!$K$10),"00")&amp;" tháng"))))</f>
        <v>Sau nhận nhà 12 tháng</v>
      </c>
      <c r="D32" s="72">
        <f>IF(B32="","",IF(B32='1_PHIEU_TU_VAN'!$K$10,MAX(0,'8_THAM_SO'!$C$5-N($G31)),IF(B32&lt;'1_PHIEU_TU_VAN'!$K$10,1%,IF(N($G31)&gt;=95%,0,MIN(2.5%,95%-N($G31))))))</f>
        <v>2.5000000000000001E-2</v>
      </c>
      <c r="E32" s="75">
        <f t="shared" si="0"/>
        <v>235033425</v>
      </c>
      <c r="F32" s="75">
        <f t="shared" si="2"/>
        <v>5640802200.0000019</v>
      </c>
      <c r="G32" s="72">
        <f t="shared" si="1"/>
        <v>0.6000000000000002</v>
      </c>
      <c r="H32" s="73" t="str">
        <f>IF(B32="","",IF(B32='1_PHIEU_TU_VAN'!$K$9,"Đã bao gồm 100 triệu đặt cọc",IF(B32='1_PHIEU_TU_VAN'!$K$10,"Mốc nhận nhà dự kiến","")))</f>
        <v/>
      </c>
    </row>
    <row r="33" spans="1:8">
      <c r="A33" s="71" t="str">
        <f>IF(B33="","","Đợt "&amp;COUNT($B$11:B33))</f>
        <v>Đợt 23</v>
      </c>
      <c r="B33" s="74">
        <f>IF(N($G32)&gt;=95%,"",IF(COUNTIF($B$11:$B32,'1_PHIEU_TU_VAN'!$K$10)&gt;0,EDATE('1_PHIEU_TU_VAN'!$K$10,COUNTIF($B$11:$B32,"&gt;"&amp;'1_PHIEU_TU_VAN'!$K$10)+1),MIN(EDATE('1_PHIEU_TU_VAN'!$K$9,22),'1_PHIEU_TU_VAN'!$K$10)))</f>
        <v>46964</v>
      </c>
      <c r="C33" s="71" t="str">
        <f>IF(B33="","",IF(B33='1_PHIEU_TU_VAN'!$K$9,"Ký HĐMB",IF(B33='1_PHIEU_TU_VAN'!$K$10,"Nhận nhà dự kiến",IF(B33&lt;'1_PHIEU_TU_VAN'!$K$10,"Sau 22 tháng","Sau nhận nhà "&amp;TEXT(COUNTIF($B$11:B33,"&gt;"&amp;'1_PHIEU_TU_VAN'!$K$10),"00")&amp;" tháng"))))</f>
        <v>Sau nhận nhà 13 tháng</v>
      </c>
      <c r="D33" s="72">
        <f>IF(B33="","",IF(B33='1_PHIEU_TU_VAN'!$K$10,MAX(0,'8_THAM_SO'!$C$5-N($G32)),IF(B33&lt;'1_PHIEU_TU_VAN'!$K$10,1%,IF(N($G32)&gt;=95%,0,MIN(2.5%,95%-N($G32))))))</f>
        <v>2.5000000000000001E-2</v>
      </c>
      <c r="E33" s="75">
        <f t="shared" si="0"/>
        <v>235033425</v>
      </c>
      <c r="F33" s="75">
        <f t="shared" si="2"/>
        <v>5875835625.0000019</v>
      </c>
      <c r="G33" s="72">
        <f t="shared" si="1"/>
        <v>0.62500000000000022</v>
      </c>
      <c r="H33" s="73" t="str">
        <f>IF(B33="","",IF(B33='1_PHIEU_TU_VAN'!$K$9,"Đã bao gồm 100 triệu đặt cọc",IF(B33='1_PHIEU_TU_VAN'!$K$10,"Mốc nhận nhà dự kiến","")))</f>
        <v/>
      </c>
    </row>
    <row r="34" spans="1:8">
      <c r="A34" s="71" t="str">
        <f>IF(B34="","","Đợt "&amp;COUNT($B$11:B34))</f>
        <v>Đợt 24</v>
      </c>
      <c r="B34" s="74">
        <f>IF(N($G33)&gt;=95%,"",IF(COUNTIF($B$11:$B33,'1_PHIEU_TU_VAN'!$K$10)&gt;0,EDATE('1_PHIEU_TU_VAN'!$K$10,COUNTIF($B$11:$B33,"&gt;"&amp;'1_PHIEU_TU_VAN'!$K$10)+1),MIN(EDATE('1_PHIEU_TU_VAN'!$K$9,23),'1_PHIEU_TU_VAN'!$K$10)))</f>
        <v>46995</v>
      </c>
      <c r="C34" s="71" t="str">
        <f>IF(B34="","",IF(B34='1_PHIEU_TU_VAN'!$K$9,"Ký HĐMB",IF(B34='1_PHIEU_TU_VAN'!$K$10,"Nhận nhà dự kiến",IF(B34&lt;'1_PHIEU_TU_VAN'!$K$10,"Sau 23 tháng","Sau nhận nhà "&amp;TEXT(COUNTIF($B$11:B34,"&gt;"&amp;'1_PHIEU_TU_VAN'!$K$10),"00")&amp;" tháng"))))</f>
        <v>Sau nhận nhà 14 tháng</v>
      </c>
      <c r="D34" s="72">
        <f>IF(B34="","",IF(B34='1_PHIEU_TU_VAN'!$K$10,MAX(0,'8_THAM_SO'!$C$5-N($G33)),IF(B34&lt;'1_PHIEU_TU_VAN'!$K$10,1%,IF(N($G33)&gt;=95%,0,MIN(2.5%,95%-N($G33))))))</f>
        <v>2.5000000000000001E-2</v>
      </c>
      <c r="E34" s="75">
        <f t="shared" si="0"/>
        <v>235033425</v>
      </c>
      <c r="F34" s="75">
        <f t="shared" si="2"/>
        <v>6110869050.0000019</v>
      </c>
      <c r="G34" s="72">
        <f t="shared" si="1"/>
        <v>0.65000000000000024</v>
      </c>
      <c r="H34" s="73" t="str">
        <f>IF(B34="","",IF(B34='1_PHIEU_TU_VAN'!$K$9,"Đã bao gồm 100 triệu đặt cọc",IF(B34='1_PHIEU_TU_VAN'!$K$10,"Mốc nhận nhà dự kiến","")))</f>
        <v/>
      </c>
    </row>
    <row r="35" spans="1:8">
      <c r="A35" s="71" t="str">
        <f>IF(B35="","","Đợt "&amp;COUNT($B$11:B35))</f>
        <v>Đợt 25</v>
      </c>
      <c r="B35" s="74">
        <f>IF(N($G34)&gt;=95%,"",IF(COUNTIF($B$11:$B34,'1_PHIEU_TU_VAN'!$K$10)&gt;0,EDATE('1_PHIEU_TU_VAN'!$K$10,COUNTIF($B$11:$B34,"&gt;"&amp;'1_PHIEU_TU_VAN'!$K$10)+1),MIN(EDATE('1_PHIEU_TU_VAN'!$K$9,24),'1_PHIEU_TU_VAN'!$K$10)))</f>
        <v>47026</v>
      </c>
      <c r="C35" s="71" t="str">
        <f>IF(B35="","",IF(B35='1_PHIEU_TU_VAN'!$K$9,"Ký HĐMB",IF(B35='1_PHIEU_TU_VAN'!$K$10,"Nhận nhà dự kiến",IF(B35&lt;'1_PHIEU_TU_VAN'!$K$10,"Sau 24 tháng","Sau nhận nhà "&amp;TEXT(COUNTIF($B$11:B35,"&gt;"&amp;'1_PHIEU_TU_VAN'!$K$10),"00")&amp;" tháng"))))</f>
        <v>Sau nhận nhà 15 tháng</v>
      </c>
      <c r="D35" s="72">
        <f>IF(B35="","",IF(B35='1_PHIEU_TU_VAN'!$K$10,MAX(0,'8_THAM_SO'!$C$5-N($G34)),IF(B35&lt;'1_PHIEU_TU_VAN'!$K$10,1%,IF(N($G34)&gt;=95%,0,MIN(2.5%,95%-N($G34))))))</f>
        <v>2.5000000000000001E-2</v>
      </c>
      <c r="E35" s="75">
        <f t="shared" si="0"/>
        <v>235033425</v>
      </c>
      <c r="F35" s="75">
        <f t="shared" si="2"/>
        <v>6345902475.0000029</v>
      </c>
      <c r="G35" s="72">
        <f t="shared" si="1"/>
        <v>0.67500000000000027</v>
      </c>
      <c r="H35" s="73" t="str">
        <f>IF(B35="","",IF(B35='1_PHIEU_TU_VAN'!$K$9,"Đã bao gồm 100 triệu đặt cọc",IF(B35='1_PHIEU_TU_VAN'!$K$10,"Mốc nhận nhà dự kiến","")))</f>
        <v/>
      </c>
    </row>
    <row r="36" spans="1:8">
      <c r="A36" s="71" t="str">
        <f>IF(B36="","","Đợt "&amp;COUNT($B$11:B36))</f>
        <v>Đợt 26</v>
      </c>
      <c r="B36" s="74">
        <f>IF(N($G35)&gt;=95%,"",IF(COUNTIF($B$11:$B35,'1_PHIEU_TU_VAN'!$K$10)&gt;0,EDATE('1_PHIEU_TU_VAN'!$K$10,COUNTIF($B$11:$B35,"&gt;"&amp;'1_PHIEU_TU_VAN'!$K$10)+1),MIN(EDATE('1_PHIEU_TU_VAN'!$K$9,25),'1_PHIEU_TU_VAN'!$K$10)))</f>
        <v>47056</v>
      </c>
      <c r="C36" s="71" t="str">
        <f>IF(B36="","",IF(B36='1_PHIEU_TU_VAN'!$K$9,"Ký HĐMB",IF(B36='1_PHIEU_TU_VAN'!$K$10,"Nhận nhà dự kiến",IF(B36&lt;'1_PHIEU_TU_VAN'!$K$10,"Sau 25 tháng","Sau nhận nhà "&amp;TEXT(COUNTIF($B$11:B36,"&gt;"&amp;'1_PHIEU_TU_VAN'!$K$10),"00")&amp;" tháng"))))</f>
        <v>Sau nhận nhà 16 tháng</v>
      </c>
      <c r="D36" s="72">
        <f>IF(B36="","",IF(B36='1_PHIEU_TU_VAN'!$K$10,MAX(0,'8_THAM_SO'!$C$5-N($G35)),IF(B36&lt;'1_PHIEU_TU_VAN'!$K$10,1%,IF(N($G35)&gt;=95%,0,MIN(2.5%,95%-N($G35))))))</f>
        <v>2.5000000000000001E-2</v>
      </c>
      <c r="E36" s="75">
        <f t="shared" si="0"/>
        <v>235033425</v>
      </c>
      <c r="F36" s="75">
        <f t="shared" si="2"/>
        <v>6580935900.0000029</v>
      </c>
      <c r="G36" s="72">
        <f t="shared" si="1"/>
        <v>0.70000000000000029</v>
      </c>
      <c r="H36" s="73" t="str">
        <f>IF(B36="","",IF(B36='1_PHIEU_TU_VAN'!$K$9,"Đã bao gồm 100 triệu đặt cọc",IF(B36='1_PHIEU_TU_VAN'!$K$10,"Mốc nhận nhà dự kiến","")))</f>
        <v/>
      </c>
    </row>
    <row r="37" spans="1:8">
      <c r="A37" s="71" t="str">
        <f>IF(B37="","","Đợt "&amp;COUNT($B$11:B37))</f>
        <v>Đợt 27</v>
      </c>
      <c r="B37" s="74">
        <f>IF(N($G36)&gt;=95%,"",IF(COUNTIF($B$11:$B36,'1_PHIEU_TU_VAN'!$K$10)&gt;0,EDATE('1_PHIEU_TU_VAN'!$K$10,COUNTIF($B$11:$B36,"&gt;"&amp;'1_PHIEU_TU_VAN'!$K$10)+1),MIN(EDATE('1_PHIEU_TU_VAN'!$K$9,26),'1_PHIEU_TU_VAN'!$K$10)))</f>
        <v>47087</v>
      </c>
      <c r="C37" s="71" t="str">
        <f>IF(B37="","",IF(B37='1_PHIEU_TU_VAN'!$K$9,"Ký HĐMB",IF(B37='1_PHIEU_TU_VAN'!$K$10,"Nhận nhà dự kiến",IF(B37&lt;'1_PHIEU_TU_VAN'!$K$10,"Sau 26 tháng","Sau nhận nhà "&amp;TEXT(COUNTIF($B$11:B37,"&gt;"&amp;'1_PHIEU_TU_VAN'!$K$10),"00")&amp;" tháng"))))</f>
        <v>Sau nhận nhà 17 tháng</v>
      </c>
      <c r="D37" s="72">
        <f>IF(B37="","",IF(B37='1_PHIEU_TU_VAN'!$K$10,MAX(0,'8_THAM_SO'!$C$5-N($G36)),IF(B37&lt;'1_PHIEU_TU_VAN'!$K$10,1%,IF(N($G36)&gt;=95%,0,MIN(2.5%,95%-N($G36))))))</f>
        <v>2.5000000000000001E-2</v>
      </c>
      <c r="E37" s="75">
        <f t="shared" si="0"/>
        <v>235033425</v>
      </c>
      <c r="F37" s="75">
        <f t="shared" si="2"/>
        <v>6815969325.0000029</v>
      </c>
      <c r="G37" s="72">
        <f t="shared" si="1"/>
        <v>0.72500000000000031</v>
      </c>
      <c r="H37" s="73" t="str">
        <f>IF(B37="","",IF(B37='1_PHIEU_TU_VAN'!$K$9,"Đã bao gồm 100 triệu đặt cọc",IF(B37='1_PHIEU_TU_VAN'!$K$10,"Mốc nhận nhà dự kiến","")))</f>
        <v/>
      </c>
    </row>
    <row r="38" spans="1:8">
      <c r="A38" s="71" t="str">
        <f>IF(B38="","","Đợt "&amp;COUNT($B$11:B38))</f>
        <v>Đợt 28</v>
      </c>
      <c r="B38" s="74">
        <f>IF(N($G37)&gt;=95%,"",IF(COUNTIF($B$11:$B37,'1_PHIEU_TU_VAN'!$K$10)&gt;0,EDATE('1_PHIEU_TU_VAN'!$K$10,COUNTIF($B$11:$B37,"&gt;"&amp;'1_PHIEU_TU_VAN'!$K$10)+1),MIN(EDATE('1_PHIEU_TU_VAN'!$K$9,27),'1_PHIEU_TU_VAN'!$K$10)))</f>
        <v>47117</v>
      </c>
      <c r="C38" s="71" t="str">
        <f>IF(B38="","",IF(B38='1_PHIEU_TU_VAN'!$K$9,"Ký HĐMB",IF(B38='1_PHIEU_TU_VAN'!$K$10,"Nhận nhà dự kiến",IF(B38&lt;'1_PHIEU_TU_VAN'!$K$10,"Sau 27 tháng","Sau nhận nhà "&amp;TEXT(COUNTIF($B$11:B38,"&gt;"&amp;'1_PHIEU_TU_VAN'!$K$10),"00")&amp;" tháng"))))</f>
        <v>Sau nhận nhà 18 tháng</v>
      </c>
      <c r="D38" s="72">
        <f>IF(B38="","",IF(B38='1_PHIEU_TU_VAN'!$K$10,MAX(0,'8_THAM_SO'!$C$5-N($G37)),IF(B38&lt;'1_PHIEU_TU_VAN'!$K$10,1%,IF(N($G37)&gt;=95%,0,MIN(2.5%,95%-N($G37))))))</f>
        <v>2.5000000000000001E-2</v>
      </c>
      <c r="E38" s="75">
        <f t="shared" si="0"/>
        <v>235033425</v>
      </c>
      <c r="F38" s="75">
        <f t="shared" si="2"/>
        <v>7051002750.0000029</v>
      </c>
      <c r="G38" s="72">
        <f t="shared" si="1"/>
        <v>0.75000000000000033</v>
      </c>
      <c r="H38" s="73" t="str">
        <f>IF(B38="","",IF(B38='1_PHIEU_TU_VAN'!$K$9,"Đã bao gồm 100 triệu đặt cọc",IF(B38='1_PHIEU_TU_VAN'!$K$10,"Mốc nhận nhà dự kiến","")))</f>
        <v/>
      </c>
    </row>
    <row r="39" spans="1:8">
      <c r="A39" s="71" t="str">
        <f>IF(B39="","","Đợt "&amp;COUNT($B$11:B39))</f>
        <v>Đợt 29</v>
      </c>
      <c r="B39" s="74">
        <f>IF(N($G38)&gt;=95%,"",IF(COUNTIF($B$11:$B38,'1_PHIEU_TU_VAN'!$K$10)&gt;0,EDATE('1_PHIEU_TU_VAN'!$K$10,COUNTIF($B$11:$B38,"&gt;"&amp;'1_PHIEU_TU_VAN'!$K$10)+1),MIN(EDATE('1_PHIEU_TU_VAN'!$K$9,28),'1_PHIEU_TU_VAN'!$K$10)))</f>
        <v>47148</v>
      </c>
      <c r="C39" s="71" t="str">
        <f>IF(B39="","",IF(B39='1_PHIEU_TU_VAN'!$K$9,"Ký HĐMB",IF(B39='1_PHIEU_TU_VAN'!$K$10,"Nhận nhà dự kiến",IF(B39&lt;'1_PHIEU_TU_VAN'!$K$10,"Sau 28 tháng","Sau nhận nhà "&amp;TEXT(COUNTIF($B$11:B39,"&gt;"&amp;'1_PHIEU_TU_VAN'!$K$10),"00")&amp;" tháng"))))</f>
        <v>Sau nhận nhà 19 tháng</v>
      </c>
      <c r="D39" s="72">
        <f>IF(B39="","",IF(B39='1_PHIEU_TU_VAN'!$K$10,MAX(0,'8_THAM_SO'!$C$5-N($G38)),IF(B39&lt;'1_PHIEU_TU_VAN'!$K$10,1%,IF(N($G38)&gt;=95%,0,MIN(2.5%,95%-N($G38))))))</f>
        <v>2.5000000000000001E-2</v>
      </c>
      <c r="E39" s="75">
        <f t="shared" si="0"/>
        <v>235033425</v>
      </c>
      <c r="F39" s="75">
        <f t="shared" si="2"/>
        <v>7286036175.0000038</v>
      </c>
      <c r="G39" s="72">
        <f t="shared" si="1"/>
        <v>0.77500000000000036</v>
      </c>
      <c r="H39" s="73" t="str">
        <f>IF(B39="","",IF(B39='1_PHIEU_TU_VAN'!$K$9,"Đã bao gồm 100 triệu đặt cọc",IF(B39='1_PHIEU_TU_VAN'!$K$10,"Mốc nhận nhà dự kiến","")))</f>
        <v/>
      </c>
    </row>
    <row r="40" spans="1:8">
      <c r="A40" s="71" t="str">
        <f>IF(B40="","","Đợt "&amp;COUNT($B$11:B40))</f>
        <v>Đợt 30</v>
      </c>
      <c r="B40" s="74">
        <f>IF(N($G39)&gt;=95%,"",IF(COUNTIF($B$11:$B39,'1_PHIEU_TU_VAN'!$K$10)&gt;0,EDATE('1_PHIEU_TU_VAN'!$K$10,COUNTIF($B$11:$B39,"&gt;"&amp;'1_PHIEU_TU_VAN'!$K$10)+1),MIN(EDATE('1_PHIEU_TU_VAN'!$K$9,29),'1_PHIEU_TU_VAN'!$K$10)))</f>
        <v>47177</v>
      </c>
      <c r="C40" s="71" t="str">
        <f>IF(B40="","",IF(B40='1_PHIEU_TU_VAN'!$K$9,"Ký HĐMB",IF(B40='1_PHIEU_TU_VAN'!$K$10,"Nhận nhà dự kiến",IF(B40&lt;'1_PHIEU_TU_VAN'!$K$10,"Sau 29 tháng","Sau nhận nhà "&amp;TEXT(COUNTIF($B$11:B40,"&gt;"&amp;'1_PHIEU_TU_VAN'!$K$10),"00")&amp;" tháng"))))</f>
        <v>Sau nhận nhà 20 tháng</v>
      </c>
      <c r="D40" s="72">
        <f>IF(B40="","",IF(B40='1_PHIEU_TU_VAN'!$K$10,MAX(0,'8_THAM_SO'!$C$5-N($G39)),IF(B40&lt;'1_PHIEU_TU_VAN'!$K$10,1%,IF(N($G39)&gt;=95%,0,MIN(2.5%,95%-N($G39))))))</f>
        <v>2.5000000000000001E-2</v>
      </c>
      <c r="E40" s="75">
        <f t="shared" si="0"/>
        <v>235033425</v>
      </c>
      <c r="F40" s="75">
        <f t="shared" si="2"/>
        <v>7521069600.0000038</v>
      </c>
      <c r="G40" s="72">
        <f t="shared" si="1"/>
        <v>0.80000000000000038</v>
      </c>
      <c r="H40" s="73" t="str">
        <f>IF(B40="","",IF(B40='1_PHIEU_TU_VAN'!$K$9,"Đã bao gồm 100 triệu đặt cọc",IF(B40='1_PHIEU_TU_VAN'!$K$10,"Mốc nhận nhà dự kiến","")))</f>
        <v/>
      </c>
    </row>
    <row r="41" spans="1:8">
      <c r="A41" s="71" t="str">
        <f>IF(B41="","","Đợt "&amp;COUNT($B$11:B41))</f>
        <v>Đợt 31</v>
      </c>
      <c r="B41" s="74">
        <f>IF(N($G40)&gt;=95%,"",IF(COUNTIF($B$11:$B40,'1_PHIEU_TU_VAN'!$K$10)&gt;0,EDATE('1_PHIEU_TU_VAN'!$K$10,COUNTIF($B$11:$B40,"&gt;"&amp;'1_PHIEU_TU_VAN'!$K$10)+1),MIN(EDATE('1_PHIEU_TU_VAN'!$K$9,30),'1_PHIEU_TU_VAN'!$K$10)))</f>
        <v>47207</v>
      </c>
      <c r="C41" s="71" t="str">
        <f>IF(B41="","",IF(B41='1_PHIEU_TU_VAN'!$K$9,"Ký HĐMB",IF(B41='1_PHIEU_TU_VAN'!$K$10,"Nhận nhà dự kiến",IF(B41&lt;'1_PHIEU_TU_VAN'!$K$10,"Sau 30 tháng","Sau nhận nhà "&amp;TEXT(COUNTIF($B$11:B41,"&gt;"&amp;'1_PHIEU_TU_VAN'!$K$10),"00")&amp;" tháng"))))</f>
        <v>Sau nhận nhà 21 tháng</v>
      </c>
      <c r="D41" s="72">
        <f>IF(B41="","",IF(B41='1_PHIEU_TU_VAN'!$K$10,MAX(0,'8_THAM_SO'!$C$5-N($G40)),IF(B41&lt;'1_PHIEU_TU_VAN'!$K$10,1%,IF(N($G40)&gt;=95%,0,MIN(2.5%,95%-N($G40))))))</f>
        <v>2.5000000000000001E-2</v>
      </c>
      <c r="E41" s="75">
        <f t="shared" si="0"/>
        <v>235033425</v>
      </c>
      <c r="F41" s="75">
        <f t="shared" si="2"/>
        <v>7756103025.0000038</v>
      </c>
      <c r="G41" s="72">
        <f t="shared" si="1"/>
        <v>0.8250000000000004</v>
      </c>
      <c r="H41" s="73" t="str">
        <f>IF(B41="","",IF(B41='1_PHIEU_TU_VAN'!$K$9,"Đã bao gồm 100 triệu đặt cọc",IF(B41='1_PHIEU_TU_VAN'!$K$10,"Mốc nhận nhà dự kiến","")))</f>
        <v/>
      </c>
    </row>
    <row r="42" spans="1:8">
      <c r="A42" s="71" t="str">
        <f>IF(B42="","","Đợt "&amp;COUNT($B$11:B42))</f>
        <v>Đợt 32</v>
      </c>
      <c r="B42" s="74">
        <f>IF(N($G41)&gt;=95%,"",IF(COUNTIF($B$11:$B41,'1_PHIEU_TU_VAN'!$K$10)&gt;0,EDATE('1_PHIEU_TU_VAN'!$K$10,COUNTIF($B$11:$B41,"&gt;"&amp;'1_PHIEU_TU_VAN'!$K$10)+1),MIN(EDATE('1_PHIEU_TU_VAN'!$K$9,31),'1_PHIEU_TU_VAN'!$K$10)))</f>
        <v>47238</v>
      </c>
      <c r="C42" s="71" t="str">
        <f>IF(B42="","",IF(B42='1_PHIEU_TU_VAN'!$K$9,"Ký HĐMB",IF(B42='1_PHIEU_TU_VAN'!$K$10,"Nhận nhà dự kiến",IF(B42&lt;'1_PHIEU_TU_VAN'!$K$10,"Sau 31 tháng","Sau nhận nhà "&amp;TEXT(COUNTIF($B$11:B42,"&gt;"&amp;'1_PHIEU_TU_VAN'!$K$10),"00")&amp;" tháng"))))</f>
        <v>Sau nhận nhà 22 tháng</v>
      </c>
      <c r="D42" s="72">
        <f>IF(B42="","",IF(B42='1_PHIEU_TU_VAN'!$K$10,MAX(0,'8_THAM_SO'!$C$5-N($G41)),IF(B42&lt;'1_PHIEU_TU_VAN'!$K$10,1%,IF(N($G41)&gt;=95%,0,MIN(2.5%,95%-N($G41))))))</f>
        <v>2.5000000000000001E-2</v>
      </c>
      <c r="E42" s="75">
        <f t="shared" si="0"/>
        <v>235033425</v>
      </c>
      <c r="F42" s="75">
        <f t="shared" si="2"/>
        <v>7991136450.0000038</v>
      </c>
      <c r="G42" s="72">
        <f t="shared" si="1"/>
        <v>0.85000000000000042</v>
      </c>
      <c r="H42" s="73" t="str">
        <f>IF(B42="","",IF(B42='1_PHIEU_TU_VAN'!$K$9,"Đã bao gồm 100 triệu đặt cọc",IF(B42='1_PHIEU_TU_VAN'!$K$10,"Mốc nhận nhà dự kiến","")))</f>
        <v/>
      </c>
    </row>
    <row r="43" spans="1:8">
      <c r="A43" s="71" t="str">
        <f>IF(B43="","","Đợt "&amp;COUNT($B$11:B43))</f>
        <v>Đợt 33</v>
      </c>
      <c r="B43" s="74">
        <f>IF(N($G42)&gt;=95%,"",IF(COUNTIF($B$11:$B42,'1_PHIEU_TU_VAN'!$K$10)&gt;0,EDATE('1_PHIEU_TU_VAN'!$K$10,COUNTIF($B$11:$B42,"&gt;"&amp;'1_PHIEU_TU_VAN'!$K$10)+1),MIN(EDATE('1_PHIEU_TU_VAN'!$K$9,32),'1_PHIEU_TU_VAN'!$K$10)))</f>
        <v>47268</v>
      </c>
      <c r="C43" s="71" t="str">
        <f>IF(B43="","",IF(B43='1_PHIEU_TU_VAN'!$K$9,"Ký HĐMB",IF(B43='1_PHIEU_TU_VAN'!$K$10,"Nhận nhà dự kiến",IF(B43&lt;'1_PHIEU_TU_VAN'!$K$10,"Sau 32 tháng","Sau nhận nhà "&amp;TEXT(COUNTIF($B$11:B43,"&gt;"&amp;'1_PHIEU_TU_VAN'!$K$10),"00")&amp;" tháng"))))</f>
        <v>Sau nhận nhà 23 tháng</v>
      </c>
      <c r="D43" s="72">
        <f>IF(B43="","",IF(B43='1_PHIEU_TU_VAN'!$K$10,MAX(0,'8_THAM_SO'!$C$5-N($G42)),IF(B43&lt;'1_PHIEU_TU_VAN'!$K$10,1%,IF(N($G42)&gt;=95%,0,MIN(2.5%,95%-N($G42))))))</f>
        <v>2.5000000000000001E-2</v>
      </c>
      <c r="E43" s="75">
        <f t="shared" si="0"/>
        <v>235033425</v>
      </c>
      <c r="F43" s="75">
        <f t="shared" si="2"/>
        <v>8226169875.0000038</v>
      </c>
      <c r="G43" s="72">
        <f t="shared" si="1"/>
        <v>0.87500000000000044</v>
      </c>
      <c r="H43" s="73" t="str">
        <f>IF(B43="","",IF(B43='1_PHIEU_TU_VAN'!$K$9,"Đã bao gồm 100 triệu đặt cọc",IF(B43='1_PHIEU_TU_VAN'!$K$10,"Mốc nhận nhà dự kiến","")))</f>
        <v/>
      </c>
    </row>
    <row r="44" spans="1:8">
      <c r="A44" s="71" t="str">
        <f>IF(B44="","","Đợt "&amp;COUNT($B$11:B44))</f>
        <v>Đợt 34</v>
      </c>
      <c r="B44" s="74">
        <f>IF(N($G43)&gt;=95%,"",IF(COUNTIF($B$11:$B43,'1_PHIEU_TU_VAN'!$K$10)&gt;0,EDATE('1_PHIEU_TU_VAN'!$K$10,COUNTIF($B$11:$B43,"&gt;"&amp;'1_PHIEU_TU_VAN'!$K$10)+1),MIN(EDATE('1_PHIEU_TU_VAN'!$K$9,33),'1_PHIEU_TU_VAN'!$K$10)))</f>
        <v>47299</v>
      </c>
      <c r="C44" s="71" t="str">
        <f>IF(B44="","",IF(B44='1_PHIEU_TU_VAN'!$K$9,"Ký HĐMB",IF(B44='1_PHIEU_TU_VAN'!$K$10,"Nhận nhà dự kiến",IF(B44&lt;'1_PHIEU_TU_VAN'!$K$10,"Sau 33 tháng","Sau nhận nhà "&amp;TEXT(COUNTIF($B$11:B44,"&gt;"&amp;'1_PHIEU_TU_VAN'!$K$10),"00")&amp;" tháng"))))</f>
        <v>Sau nhận nhà 24 tháng</v>
      </c>
      <c r="D44" s="72">
        <f>IF(B44="","",IF(B44='1_PHIEU_TU_VAN'!$K$10,MAX(0,'8_THAM_SO'!$C$5-N($G43)),IF(B44&lt;'1_PHIEU_TU_VAN'!$K$10,1%,IF(N($G43)&gt;=95%,0,MIN(2.5%,95%-N($G43))))))</f>
        <v>2.5000000000000001E-2</v>
      </c>
      <c r="E44" s="75">
        <f t="shared" si="0"/>
        <v>235033425</v>
      </c>
      <c r="F44" s="75">
        <f t="shared" si="2"/>
        <v>8461203300.0000048</v>
      </c>
      <c r="G44" s="72">
        <f t="shared" si="1"/>
        <v>0.90000000000000047</v>
      </c>
      <c r="H44" s="73" t="str">
        <f>IF(B44="","",IF(B44='1_PHIEU_TU_VAN'!$K$9,"Đã bao gồm 100 triệu đặt cọc",IF(B44='1_PHIEU_TU_VAN'!$K$10,"Mốc nhận nhà dự kiến","")))</f>
        <v/>
      </c>
    </row>
    <row r="45" spans="1:8">
      <c r="A45" s="71" t="str">
        <f>IF(B45="","","Đợt "&amp;COUNT($B$11:B45))</f>
        <v>Đợt 35</v>
      </c>
      <c r="B45" s="74">
        <f>IF(N($G44)&gt;=95%,"",IF(COUNTIF($B$11:$B44,'1_PHIEU_TU_VAN'!$K$10)&gt;0,EDATE('1_PHIEU_TU_VAN'!$K$10,COUNTIF($B$11:$B44,"&gt;"&amp;'1_PHIEU_TU_VAN'!$K$10)+1),MIN(EDATE('1_PHIEU_TU_VAN'!$K$9,34),'1_PHIEU_TU_VAN'!$K$10)))</f>
        <v>47329</v>
      </c>
      <c r="C45" s="71" t="str">
        <f>IF(B45="","",IF(B45='1_PHIEU_TU_VAN'!$K$9,"Ký HĐMB",IF(B45='1_PHIEU_TU_VAN'!$K$10,"Nhận nhà dự kiến",IF(B45&lt;'1_PHIEU_TU_VAN'!$K$10,"Sau 34 tháng","Sau nhận nhà "&amp;TEXT(COUNTIF($B$11:B45,"&gt;"&amp;'1_PHIEU_TU_VAN'!$K$10),"00")&amp;" tháng"))))</f>
        <v>Sau nhận nhà 25 tháng</v>
      </c>
      <c r="D45" s="72">
        <f>IF(B45="","",IF(B45='1_PHIEU_TU_VAN'!$K$10,MAX(0,'8_THAM_SO'!$C$5-N($G44)),IF(B45&lt;'1_PHIEU_TU_VAN'!$K$10,1%,IF(N($G44)&gt;=95%,0,MIN(2.5%,95%-N($G44))))))</f>
        <v>2.5000000000000001E-2</v>
      </c>
      <c r="E45" s="75">
        <f t="shared" si="0"/>
        <v>235033425</v>
      </c>
      <c r="F45" s="75">
        <f t="shared" si="2"/>
        <v>8696236725.0000038</v>
      </c>
      <c r="G45" s="72">
        <f t="shared" si="1"/>
        <v>0.92500000000000049</v>
      </c>
      <c r="H45" s="73" t="str">
        <f>IF(B45="","",IF(B45='1_PHIEU_TU_VAN'!$K$9,"Đã bao gồm 100 triệu đặt cọc",IF(B45='1_PHIEU_TU_VAN'!$K$10,"Mốc nhận nhà dự kiến","")))</f>
        <v/>
      </c>
    </row>
    <row r="46" spans="1:8">
      <c r="A46" s="71" t="str">
        <f>IF(B46="","","Đợt "&amp;COUNT($B$11:B46))</f>
        <v>Đợt 36</v>
      </c>
      <c r="B46" s="74">
        <f>IF(N($G45)&gt;=95%,"",IF(COUNTIF($B$11:$B45,'1_PHIEU_TU_VAN'!$K$10)&gt;0,EDATE('1_PHIEU_TU_VAN'!$K$10,COUNTIF($B$11:$B45,"&gt;"&amp;'1_PHIEU_TU_VAN'!$K$10)+1),MIN(EDATE('1_PHIEU_TU_VAN'!$K$9,35),'1_PHIEU_TU_VAN'!$K$10)))</f>
        <v>47360</v>
      </c>
      <c r="C46" s="71" t="str">
        <f>IF(B46="","",IF(B46='1_PHIEU_TU_VAN'!$K$9,"Ký HĐMB",IF(B46='1_PHIEU_TU_VAN'!$K$10,"Nhận nhà dự kiến",IF(B46&lt;'1_PHIEU_TU_VAN'!$K$10,"Sau 35 tháng","Sau nhận nhà "&amp;TEXT(COUNTIF($B$11:B46,"&gt;"&amp;'1_PHIEU_TU_VAN'!$K$10),"00")&amp;" tháng"))))</f>
        <v>Sau nhận nhà 26 tháng</v>
      </c>
      <c r="D46" s="72">
        <f>IF(B46="","",IF(B46='1_PHIEU_TU_VAN'!$K$10,MAX(0,'8_THAM_SO'!$C$5-N($G45)),IF(B46&lt;'1_PHIEU_TU_VAN'!$K$10,1%,IF(N($G45)&gt;=95%,0,MIN(2.5%,95%-N($G45))))))</f>
        <v>2.4999999999999467E-2</v>
      </c>
      <c r="E46" s="75">
        <f t="shared" si="0"/>
        <v>235033424.99999499</v>
      </c>
      <c r="F46" s="75">
        <f t="shared" si="2"/>
        <v>8931270150</v>
      </c>
      <c r="G46" s="72">
        <f t="shared" si="1"/>
        <v>0.95</v>
      </c>
      <c r="H46" s="73" t="str">
        <f>IF(B46="","",IF(B46='1_PHIEU_TU_VAN'!$K$9,"Đã bao gồm 100 triệu đặt cọc",IF(B46='1_PHIEU_TU_VAN'!$K$10,"Mốc nhận nhà dự kiến","")))</f>
        <v/>
      </c>
    </row>
    <row r="47" spans="1:8">
      <c r="A47" s="44" t="str">
        <f>"Đợt "&amp;(COUNT($B$11:$B$46)+1)</f>
        <v>Đợt 37</v>
      </c>
      <c r="B47" s="45"/>
      <c r="C47" s="44" t="s">
        <v>59</v>
      </c>
      <c r="D47" s="36">
        <v>0.05</v>
      </c>
      <c r="E47" s="77">
        <f t="shared" si="0"/>
        <v>470066850</v>
      </c>
      <c r="F47" s="77">
        <f t="shared" si="2"/>
        <v>9401337000</v>
      </c>
      <c r="G47" s="36">
        <f t="shared" si="1"/>
        <v>1</v>
      </c>
      <c r="H47" s="46"/>
    </row>
    <row r="48" spans="1:8" ht="14.5">
      <c r="A48" s="56" t="s">
        <v>60</v>
      </c>
      <c r="B48" s="56"/>
      <c r="C48" s="56"/>
      <c r="D48" s="57">
        <f>SUM($D$11:$D$47)</f>
        <v>1</v>
      </c>
      <c r="E48" s="76">
        <f>SUM($E$11:$E$47)</f>
        <v>9401336999.9999943</v>
      </c>
      <c r="F48" s="76"/>
      <c r="G48" s="57"/>
      <c r="H48" s="56" t="s">
        <v>66</v>
      </c>
    </row>
    <row r="49" spans="5:6">
      <c r="E49" s="55"/>
      <c r="F49" s="55"/>
    </row>
    <row r="50" spans="5:6">
      <c r="E50" s="55"/>
      <c r="F50" s="55"/>
    </row>
    <row r="51" spans="5:6">
      <c r="E51" s="55"/>
      <c r="F51" s="55"/>
    </row>
    <row r="52" spans="5:6">
      <c r="E52" s="55"/>
      <c r="F52" s="55"/>
    </row>
    <row r="53" spans="5:6">
      <c r="E53" s="55"/>
      <c r="F53" s="55"/>
    </row>
    <row r="54" spans="5:6">
      <c r="E54" s="55"/>
      <c r="F54" s="55"/>
    </row>
    <row r="55" spans="5:6">
      <c r="E55" s="55"/>
      <c r="F55" s="55"/>
    </row>
    <row r="56" spans="5:6">
      <c r="E56" s="55"/>
      <c r="F56" s="55"/>
    </row>
    <row r="57" spans="5:6">
      <c r="E57" s="55"/>
      <c r="F57" s="55"/>
    </row>
    <row r="58" spans="5:6">
      <c r="E58" s="55"/>
      <c r="F58" s="55"/>
    </row>
    <row r="59" spans="5:6">
      <c r="E59" s="55"/>
      <c r="F59" s="55"/>
    </row>
    <row r="60" spans="5:6">
      <c r="E60" s="55"/>
      <c r="F60" s="55"/>
    </row>
    <row r="61" spans="5:6">
      <c r="E61" s="55"/>
      <c r="F61" s="55"/>
    </row>
    <row r="62" spans="5:6">
      <c r="E62" s="55"/>
      <c r="F62" s="55"/>
    </row>
    <row r="63" spans="5:6">
      <c r="E63" s="55"/>
      <c r="F63" s="55"/>
    </row>
    <row r="64" spans="5:6">
      <c r="E64" s="55"/>
      <c r="F64" s="55"/>
    </row>
    <row r="65" spans="5:6">
      <c r="E65" s="55"/>
      <c r="F65" s="55"/>
    </row>
    <row r="66" spans="5:6">
      <c r="E66" s="55"/>
      <c r="F66" s="55"/>
    </row>
    <row r="67" spans="5:6">
      <c r="E67" s="55"/>
      <c r="F67" s="55"/>
    </row>
    <row r="68" spans="5:6">
      <c r="E68" s="55"/>
      <c r="F68" s="55"/>
    </row>
    <row r="69" spans="5:6">
      <c r="E69" s="55"/>
      <c r="F69" s="55"/>
    </row>
    <row r="70" spans="5:6">
      <c r="E70" s="55"/>
      <c r="F70" s="55"/>
    </row>
    <row r="71" spans="5:6">
      <c r="E71" s="55"/>
      <c r="F71" s="55"/>
    </row>
    <row r="72" spans="5:6">
      <c r="E72" s="55"/>
      <c r="F72" s="55"/>
    </row>
    <row r="73" spans="5:6">
      <c r="E73" s="55"/>
      <c r="F73" s="55"/>
    </row>
    <row r="74" spans="5:6">
      <c r="E74" s="55"/>
      <c r="F74" s="55"/>
    </row>
    <row r="75" spans="5:6">
      <c r="E75" s="55"/>
      <c r="F75" s="55"/>
    </row>
    <row r="76" spans="5:6">
      <c r="E76" s="55"/>
      <c r="F76" s="55"/>
    </row>
    <row r="77" spans="5:6">
      <c r="E77" s="55"/>
      <c r="F77" s="55"/>
    </row>
    <row r="78" spans="5:6">
      <c r="E78" s="55"/>
      <c r="F78" s="55"/>
    </row>
    <row r="79" spans="5:6">
      <c r="E79" s="55"/>
      <c r="F79" s="55"/>
    </row>
    <row r="80" spans="5:6">
      <c r="E80" s="55"/>
      <c r="F80" s="55"/>
    </row>
    <row r="81" spans="5:6">
      <c r="E81" s="55"/>
      <c r="F81" s="55"/>
    </row>
    <row r="82" spans="5:6">
      <c r="E82" s="55"/>
      <c r="F82" s="55"/>
    </row>
    <row r="83" spans="5:6">
      <c r="E83" s="55"/>
      <c r="F83" s="55"/>
    </row>
    <row r="84" spans="5:6">
      <c r="E84" s="55"/>
      <c r="F84" s="55"/>
    </row>
    <row r="85" spans="5:6">
      <c r="E85" s="55"/>
      <c r="F85" s="55"/>
    </row>
    <row r="86" spans="5:6">
      <c r="E86" s="55"/>
      <c r="F86" s="55"/>
    </row>
    <row r="87" spans="5:6">
      <c r="E87" s="55"/>
      <c r="F87" s="55"/>
    </row>
    <row r="88" spans="5:6">
      <c r="E88" s="55"/>
      <c r="F88" s="55"/>
    </row>
    <row r="89" spans="5:6">
      <c r="E89" s="55"/>
      <c r="F89" s="55"/>
    </row>
    <row r="90" spans="5:6">
      <c r="E90" s="55"/>
      <c r="F90" s="55"/>
    </row>
    <row r="91" spans="5:6">
      <c r="E91" s="55"/>
      <c r="F91" s="55"/>
    </row>
    <row r="92" spans="5:6">
      <c r="E92" s="55"/>
      <c r="F92" s="55"/>
    </row>
    <row r="93" spans="5:6">
      <c r="E93" s="55"/>
      <c r="F93" s="55"/>
    </row>
    <row r="94" spans="5:6">
      <c r="E94" s="55"/>
      <c r="F94" s="55"/>
    </row>
    <row r="95" spans="5:6">
      <c r="E95" s="55"/>
      <c r="F95" s="55"/>
    </row>
    <row r="96" spans="5:6">
      <c r="E96" s="55"/>
      <c r="F96" s="55"/>
    </row>
    <row r="97" spans="5:6">
      <c r="E97" s="55"/>
      <c r="F97" s="55"/>
    </row>
    <row r="98" spans="5:6">
      <c r="E98" s="55"/>
      <c r="F98" s="55"/>
    </row>
    <row r="99" spans="5:6">
      <c r="E99" s="55"/>
      <c r="F99" s="55"/>
    </row>
    <row r="100" spans="5:6">
      <c r="E100" s="55"/>
      <c r="F100" s="55"/>
    </row>
    <row r="101" spans="5:6">
      <c r="E101" s="55"/>
      <c r="F101" s="55"/>
    </row>
    <row r="102" spans="5:6">
      <c r="E102" s="55"/>
      <c r="F102" s="55"/>
    </row>
    <row r="103" spans="5:6">
      <c r="E103" s="55"/>
      <c r="F103" s="55"/>
    </row>
    <row r="104" spans="5:6">
      <c r="E104" s="55"/>
      <c r="F104" s="55"/>
    </row>
    <row r="105" spans="5:6">
      <c r="E105" s="55"/>
      <c r="F105" s="55"/>
    </row>
    <row r="106" spans="5:6">
      <c r="E106" s="55"/>
      <c r="F106" s="55"/>
    </row>
    <row r="107" spans="5:6">
      <c r="E107" s="55"/>
      <c r="F107" s="55"/>
    </row>
    <row r="108" spans="5:6">
      <c r="E108" s="55"/>
      <c r="F108" s="55"/>
    </row>
    <row r="109" spans="5:6">
      <c r="E109" s="55"/>
      <c r="F109" s="55"/>
    </row>
    <row r="110" spans="5:6">
      <c r="E110" s="55"/>
      <c r="F110" s="55"/>
    </row>
    <row r="111" spans="5:6">
      <c r="E111" s="55"/>
      <c r="F111" s="55"/>
    </row>
    <row r="112" spans="5:6">
      <c r="E112" s="55"/>
      <c r="F112" s="55"/>
    </row>
    <row r="113" spans="5:6">
      <c r="E113" s="55"/>
      <c r="F113" s="55"/>
    </row>
    <row r="114" spans="5:6">
      <c r="E114" s="55"/>
      <c r="F114" s="55"/>
    </row>
    <row r="115" spans="5:6">
      <c r="E115" s="55"/>
      <c r="F115" s="55"/>
    </row>
    <row r="116" spans="5:6">
      <c r="E116" s="55"/>
      <c r="F116" s="55"/>
    </row>
    <row r="117" spans="5:6">
      <c r="E117" s="55"/>
      <c r="F117" s="55"/>
    </row>
    <row r="118" spans="5:6">
      <c r="E118" s="55"/>
      <c r="F118" s="55"/>
    </row>
    <row r="119" spans="5:6">
      <c r="E119" s="55"/>
      <c r="F119" s="55"/>
    </row>
    <row r="120" spans="5:6">
      <c r="E120" s="55"/>
      <c r="F120" s="55"/>
    </row>
    <row r="121" spans="5:6">
      <c r="E121" s="55"/>
      <c r="F121" s="55"/>
    </row>
    <row r="122" spans="5:6">
      <c r="E122" s="55"/>
      <c r="F122" s="55"/>
    </row>
    <row r="123" spans="5:6">
      <c r="E123" s="55"/>
      <c r="F123" s="55"/>
    </row>
    <row r="124" spans="5:6">
      <c r="E124" s="55"/>
      <c r="F124" s="55"/>
    </row>
    <row r="125" spans="5:6">
      <c r="E125" s="55"/>
      <c r="F125" s="55"/>
    </row>
    <row r="126" spans="5:6">
      <c r="E126" s="55"/>
      <c r="F126" s="55"/>
    </row>
    <row r="127" spans="5:6">
      <c r="E127" s="55"/>
      <c r="F127" s="55"/>
    </row>
    <row r="128" spans="5:6">
      <c r="E128" s="55"/>
      <c r="F128" s="55"/>
    </row>
    <row r="129" spans="5:6">
      <c r="E129" s="55"/>
      <c r="F129" s="55"/>
    </row>
    <row r="130" spans="5:6">
      <c r="E130" s="55"/>
      <c r="F130" s="55"/>
    </row>
    <row r="131" spans="5:6">
      <c r="E131" s="55"/>
      <c r="F131" s="55"/>
    </row>
    <row r="132" spans="5:6">
      <c r="E132" s="55"/>
      <c r="F132" s="55"/>
    </row>
    <row r="133" spans="5:6">
      <c r="E133" s="55"/>
      <c r="F133" s="55"/>
    </row>
    <row r="134" spans="5:6">
      <c r="E134" s="55"/>
      <c r="F134" s="55"/>
    </row>
    <row r="135" spans="5:6">
      <c r="E135" s="55"/>
      <c r="F135" s="55"/>
    </row>
    <row r="136" spans="5:6">
      <c r="E136" s="55"/>
      <c r="F136" s="55"/>
    </row>
    <row r="137" spans="5:6">
      <c r="E137" s="55"/>
      <c r="F137" s="55"/>
    </row>
    <row r="138" spans="5:6">
      <c r="E138" s="55"/>
      <c r="F138" s="55"/>
    </row>
    <row r="139" spans="5:6">
      <c r="E139" s="55"/>
      <c r="F139" s="55"/>
    </row>
    <row r="140" spans="5:6">
      <c r="E140" s="55"/>
      <c r="F140" s="55"/>
    </row>
    <row r="141" spans="5:6">
      <c r="E141" s="55"/>
      <c r="F141" s="55"/>
    </row>
    <row r="142" spans="5:6">
      <c r="E142" s="55"/>
      <c r="F142" s="55"/>
    </row>
    <row r="143" spans="5:6">
      <c r="E143" s="55"/>
      <c r="F143" s="55"/>
    </row>
    <row r="144" spans="5:6">
      <c r="E144" s="55"/>
      <c r="F144" s="55"/>
    </row>
    <row r="145" spans="5:6">
      <c r="E145" s="55"/>
      <c r="F145" s="55"/>
    </row>
    <row r="146" spans="5:6">
      <c r="E146" s="55"/>
      <c r="F146" s="55"/>
    </row>
    <row r="147" spans="5:6">
      <c r="E147" s="55"/>
      <c r="F147" s="55"/>
    </row>
    <row r="148" spans="5:6">
      <c r="E148" s="55"/>
      <c r="F148" s="55"/>
    </row>
    <row r="149" spans="5:6">
      <c r="E149" s="55"/>
      <c r="F149" s="55"/>
    </row>
    <row r="150" spans="5:6">
      <c r="E150" s="55"/>
      <c r="F150" s="55"/>
    </row>
    <row r="151" spans="5:6">
      <c r="E151" s="55"/>
      <c r="F151" s="55"/>
    </row>
    <row r="152" spans="5:6">
      <c r="E152" s="55"/>
      <c r="F152" s="55"/>
    </row>
    <row r="153" spans="5:6">
      <c r="E153" s="55"/>
      <c r="F153" s="55"/>
    </row>
    <row r="154" spans="5:6">
      <c r="E154" s="55"/>
      <c r="F154" s="55"/>
    </row>
    <row r="155" spans="5:6">
      <c r="E155" s="55"/>
      <c r="F155" s="55"/>
    </row>
    <row r="156" spans="5:6">
      <c r="E156" s="55"/>
      <c r="F156" s="55"/>
    </row>
    <row r="157" spans="5:6">
      <c r="E157" s="55"/>
      <c r="F157" s="55"/>
    </row>
    <row r="158" spans="5:6">
      <c r="E158" s="55"/>
      <c r="F158" s="55"/>
    </row>
    <row r="159" spans="5:6">
      <c r="E159" s="55"/>
      <c r="F159" s="55"/>
    </row>
    <row r="160" spans="5:6">
      <c r="E160" s="55"/>
      <c r="F160" s="55"/>
    </row>
    <row r="161" spans="5:6">
      <c r="E161" s="55"/>
      <c r="F161" s="55"/>
    </row>
    <row r="162" spans="5:6">
      <c r="E162" s="55"/>
      <c r="F162" s="55"/>
    </row>
    <row r="163" spans="5:6">
      <c r="E163" s="55"/>
      <c r="F163" s="55"/>
    </row>
    <row r="164" spans="5:6">
      <c r="E164" s="55"/>
      <c r="F164" s="55"/>
    </row>
    <row r="165" spans="5:6">
      <c r="E165" s="55"/>
      <c r="F165" s="55"/>
    </row>
    <row r="166" spans="5:6">
      <c r="E166" s="55"/>
      <c r="F166" s="55"/>
    </row>
    <row r="167" spans="5:6">
      <c r="E167" s="55"/>
      <c r="F167" s="55"/>
    </row>
    <row r="168" spans="5:6">
      <c r="E168" s="55"/>
      <c r="F168" s="55"/>
    </row>
    <row r="169" spans="5:6">
      <c r="E169" s="55"/>
      <c r="F169" s="55"/>
    </row>
    <row r="170" spans="5:6">
      <c r="E170" s="55"/>
      <c r="F170" s="55"/>
    </row>
    <row r="171" spans="5:6">
      <c r="E171" s="55"/>
      <c r="F171" s="55"/>
    </row>
    <row r="172" spans="5:6">
      <c r="E172" s="55"/>
      <c r="F172" s="55"/>
    </row>
    <row r="173" spans="5:6">
      <c r="E173" s="55"/>
      <c r="F173" s="55"/>
    </row>
    <row r="174" spans="5:6">
      <c r="E174" s="55"/>
      <c r="F174" s="55"/>
    </row>
    <row r="175" spans="5:6">
      <c r="E175" s="55"/>
      <c r="F175" s="55"/>
    </row>
    <row r="176" spans="5:6">
      <c r="E176" s="55"/>
      <c r="F176" s="55"/>
    </row>
    <row r="177" spans="5:6">
      <c r="E177" s="55"/>
      <c r="F177" s="55"/>
    </row>
    <row r="178" spans="5:6">
      <c r="E178" s="55"/>
      <c r="F178" s="55"/>
    </row>
    <row r="179" spans="5:6">
      <c r="E179" s="55"/>
      <c r="F179" s="55"/>
    </row>
    <row r="180" spans="5:6">
      <c r="E180" s="55"/>
      <c r="F180" s="55"/>
    </row>
    <row r="181" spans="5:6">
      <c r="E181" s="55"/>
      <c r="F181" s="55"/>
    </row>
    <row r="182" spans="5:6">
      <c r="E182" s="55"/>
      <c r="F182" s="55"/>
    </row>
    <row r="183" spans="5:6">
      <c r="E183" s="55"/>
      <c r="F183" s="55"/>
    </row>
    <row r="184" spans="5:6">
      <c r="E184" s="55"/>
      <c r="F184" s="55"/>
    </row>
    <row r="185" spans="5:6">
      <c r="E185" s="55"/>
      <c r="F185" s="55"/>
    </row>
    <row r="186" spans="5:6">
      <c r="E186" s="55"/>
      <c r="F186" s="55"/>
    </row>
    <row r="187" spans="5:6">
      <c r="E187" s="55"/>
      <c r="F187" s="55"/>
    </row>
    <row r="188" spans="5:6">
      <c r="E188" s="55"/>
      <c r="F188" s="55"/>
    </row>
    <row r="189" spans="5:6">
      <c r="E189" s="55"/>
      <c r="F189" s="55"/>
    </row>
    <row r="190" spans="5:6">
      <c r="E190" s="55"/>
      <c r="F190" s="55"/>
    </row>
    <row r="191" spans="5:6">
      <c r="E191" s="55"/>
      <c r="F191" s="55"/>
    </row>
    <row r="192" spans="5:6">
      <c r="E192" s="55"/>
      <c r="F192" s="55"/>
    </row>
    <row r="193" spans="5:6">
      <c r="E193" s="55"/>
      <c r="F193" s="55"/>
    </row>
    <row r="194" spans="5:6">
      <c r="E194" s="55"/>
      <c r="F194" s="55"/>
    </row>
    <row r="195" spans="5:6">
      <c r="E195" s="55"/>
      <c r="F195" s="55"/>
    </row>
    <row r="196" spans="5:6">
      <c r="E196" s="55"/>
      <c r="F196" s="55"/>
    </row>
    <row r="197" spans="5:6">
      <c r="E197" s="55"/>
      <c r="F197" s="55"/>
    </row>
    <row r="198" spans="5:6">
      <c r="E198" s="55"/>
      <c r="F198" s="55"/>
    </row>
    <row r="199" spans="5:6">
      <c r="E199" s="55"/>
      <c r="F199" s="55"/>
    </row>
    <row r="200" spans="5:6">
      <c r="E200" s="55"/>
      <c r="F200" s="55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FB0DB12-2954-4FD5-B66B-74EF55412145}">
            <xm:f>$B11='1_PHIEU_TU_VAN'!$K$10</xm:f>
            <x14:dxf>
              <font>
                <b/>
                <i val="0"/>
              </font>
              <fill>
                <patternFill>
                  <bgColor rgb="FFE3E8D4"/>
                </patternFill>
              </fill>
            </x14:dxf>
          </x14:cfRule>
          <xm:sqref>A11:H47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showGridLines="0" topLeftCell="A8" workbookViewId="0">
      <selection activeCell="E60" sqref="E60"/>
    </sheetView>
  </sheetViews>
  <sheetFormatPr defaultRowHeight="14"/>
  <cols>
    <col min="1" max="1" width="11.58203125" customWidth="1"/>
    <col min="2" max="2" width="11.5" customWidth="1"/>
    <col min="3" max="3" width="21.83203125" customWidth="1"/>
    <col min="4" max="4" width="8.83203125" customWidth="1"/>
    <col min="5" max="5" width="15.75" customWidth="1"/>
    <col min="6" max="6" width="16.75" customWidth="1"/>
    <col min="7" max="7" width="12.25" customWidth="1"/>
    <col min="8" max="8" width="24" customWidth="1"/>
  </cols>
  <sheetData>
    <row r="1" spans="1:8" ht="21.65" customHeight="1">
      <c r="A1" s="1" t="s">
        <v>70</v>
      </c>
      <c r="B1" s="1"/>
      <c r="C1" s="1"/>
      <c r="D1" s="1"/>
      <c r="E1" s="1"/>
      <c r="F1" s="1"/>
      <c r="G1" s="1"/>
      <c r="H1" s="1"/>
    </row>
    <row r="3" spans="1:8">
      <c r="A3" s="60" t="s">
        <v>40</v>
      </c>
      <c r="B3" s="64" t="str">
        <f>'1_PHIEU_TU_VAN'!B7</f>
        <v>2PN</v>
      </c>
      <c r="C3" s="60" t="s">
        <v>41</v>
      </c>
      <c r="D3" s="63">
        <f>IF('1_PHIEU_TU_VAN'!K7="Có",'8_THAM_SO'!$B$16,0)</f>
        <v>0.03</v>
      </c>
      <c r="F3" s="12" t="s">
        <v>42</v>
      </c>
      <c r="G3" s="48">
        <f>'1_PHIEU_TU_VAN'!F7*1000000000</f>
        <v>8900000000</v>
      </c>
    </row>
    <row r="4" spans="1:8">
      <c r="A4" s="60" t="s">
        <v>43</v>
      </c>
      <c r="B4" s="64">
        <f>'1_PHIEU_TU_VAN'!B9</f>
        <v>74.709999999999994</v>
      </c>
      <c r="C4" s="60" t="s">
        <v>26</v>
      </c>
      <c r="D4" s="63">
        <f>INDEX('8_THAM_SO'!$B$4:$B$9,MATCH("48 tháng",'8_THAM_SO'!$A$4:$A$9,0))</f>
        <v>0</v>
      </c>
      <c r="F4" s="10" t="s">
        <v>44</v>
      </c>
      <c r="G4" s="48">
        <f>G3*(1-D3)*(1-D4)*(1-D5)</f>
        <v>8633000000</v>
      </c>
    </row>
    <row r="5" spans="1:8">
      <c r="A5" s="60" t="s">
        <v>45</v>
      </c>
      <c r="B5" s="64">
        <f>'1_PHIEU_TU_VAN'!B8</f>
        <v>65.760000000000005</v>
      </c>
      <c r="C5" s="62" t="s">
        <v>46</v>
      </c>
      <c r="D5" s="63">
        <f>IF('1_PHIEU_TU_VAN'!B11&gt;=5,'8_THAM_SO'!$B$19,IF('1_PHIEU_TU_VAN'!B11&gt;=3,'8_THAM_SO'!$B$18,IF('1_PHIEU_TU_VAN'!B11=2,'8_THAM_SO'!$B$17,0)))</f>
        <v>0</v>
      </c>
      <c r="F5" s="12" t="s">
        <v>47</v>
      </c>
      <c r="G5" s="48">
        <f>G4*(1+'8_THAM_SO'!$B$14)</f>
        <v>9496300000</v>
      </c>
    </row>
    <row r="6" spans="1:8">
      <c r="A6" s="61"/>
      <c r="B6" s="59"/>
      <c r="C6" s="62" t="s">
        <v>27</v>
      </c>
      <c r="D6" s="63">
        <f>1-(1-D3)*(1-D4)*(1-D5)</f>
        <v>3.0000000000000027E-2</v>
      </c>
    </row>
    <row r="8" spans="1:8">
      <c r="A8" s="33" t="s">
        <v>48</v>
      </c>
      <c r="B8" s="33" t="s">
        <v>49</v>
      </c>
      <c r="C8" s="33" t="s">
        <v>50</v>
      </c>
      <c r="D8" s="33" t="s">
        <v>63</v>
      </c>
      <c r="E8" s="33" t="s">
        <v>64</v>
      </c>
      <c r="F8" s="33" t="s">
        <v>56</v>
      </c>
      <c r="G8" s="33" t="s">
        <v>65</v>
      </c>
      <c r="H8" s="33" t="s">
        <v>57</v>
      </c>
    </row>
    <row r="9" spans="1:8">
      <c r="A9" s="41"/>
      <c r="B9" s="42">
        <f>'1_PHIEU_TU_VAN'!$K$9-7</f>
        <v>46288</v>
      </c>
      <c r="C9" s="41" t="s">
        <v>58</v>
      </c>
      <c r="D9" s="41"/>
      <c r="E9" s="49">
        <f>'8_THAM_SO'!$B$13</f>
        <v>100000000</v>
      </c>
      <c r="F9" s="49">
        <f>E9</f>
        <v>100000000</v>
      </c>
      <c r="G9" s="41"/>
      <c r="H9" s="43"/>
    </row>
    <row r="10" spans="1:8">
      <c r="A10" s="71" t="str">
        <f>IF(B10="","","Đợt "&amp;COUNT($B$10:B10))</f>
        <v>Đợt 1</v>
      </c>
      <c r="B10" s="74">
        <f>'1_PHIEU_TU_VAN'!$K$9</f>
        <v>46295</v>
      </c>
      <c r="C10" s="71" t="str">
        <f>IF(B10="","",IF(B10='1_PHIEU_TU_VAN'!$K$9,"Ký HĐMB",IF(B10='1_PHIEU_TU_VAN'!$K$10,"Nhận nhà dự kiến",IF(B10&lt;'1_PHIEU_TU_VAN'!$K$10,"Sau 00 tháng","Sau nhận nhà "&amp;TEXT(COUNTIF($B$10:B10,"&gt;"&amp;'1_PHIEU_TU_VAN'!$K$10),"00")&amp;" tháng"))))</f>
        <v>Ký HĐMB</v>
      </c>
      <c r="D10" s="72">
        <f>IF(B10="","",IF(B10='1_PHIEU_TU_VAN'!$K$10,MAX(0,'8_THAM_SO'!$C$4-0),IF(B10&lt;'1_PHIEU_TU_VAN'!$K$10,15%,IF(0&gt;=95%,0,MIN(IF(COUNTIF($B$10:B10,"&gt;"&amp;'1_PHIEU_TU_VAN'!$K$10)&lt;=12,1.5%,2%),95%-0)))))</f>
        <v>0.15</v>
      </c>
      <c r="E10" s="75">
        <f t="shared" ref="E10:E41" si="0">IF(D10="","",$G$5*D10)</f>
        <v>1424445000</v>
      </c>
      <c r="F10" s="75">
        <f t="shared" ref="F10" si="1">IF(G10="","",$G$5*G10)</f>
        <v>1424445000</v>
      </c>
      <c r="G10" s="72">
        <f>IF(D10="","",0+D10)</f>
        <v>0.15</v>
      </c>
      <c r="H10" s="73" t="str">
        <f>IF(B10="","",IF(B10='1_PHIEU_TU_VAN'!$K$9,"Đã bao gồm 100 triệu đặt cọc",IF(B10='1_PHIEU_TU_VAN'!$K$10,"Mốc nhận nhà dự kiến","")))</f>
        <v>Đã bao gồm 100 triệu đặt cọc</v>
      </c>
    </row>
    <row r="11" spans="1:8">
      <c r="A11" s="71" t="str">
        <f>IF(B11="","","Đợt "&amp;COUNT($B$10:B11))</f>
        <v>Đợt 2</v>
      </c>
      <c r="B11" s="74">
        <f>IF(N($G10)&gt;=95%,"",IF(COUNTIF($B$10:$B10,'1_PHIEU_TU_VAN'!$K$10)&gt;0,EDATE('1_PHIEU_TU_VAN'!$K$10,COUNTIF($B$10:$B10,"&gt;"&amp;'1_PHIEU_TU_VAN'!$K$10)+1),MIN(EDATE('1_PHIEU_TU_VAN'!$K$9,1),'1_PHIEU_TU_VAN'!$K$10)))</f>
        <v>46325</v>
      </c>
      <c r="C11" s="71" t="str">
        <f>IF(B11="","",IF(B11='1_PHIEU_TU_VAN'!$K$9,"Ký HĐMB",IF(B11='1_PHIEU_TU_VAN'!$K$10,"Nhận nhà dự kiến",IF(B11&lt;'1_PHIEU_TU_VAN'!$K$10,"Sau 01 tháng","Sau nhận nhà "&amp;TEXT(COUNTIF($B$10:B11,"&gt;"&amp;'1_PHIEU_TU_VAN'!$K$10),"00")&amp;" tháng"))))</f>
        <v>Sau 01 tháng</v>
      </c>
      <c r="D11" s="72">
        <f>IF(B11="","",IF(B11='1_PHIEU_TU_VAN'!$K$10,MAX(0,'8_THAM_SO'!$C$4-N($G10)),IF(B11&lt;'1_PHIEU_TU_VAN'!$K$10,2.5%,IF(N($G10)&gt;=95%,0,MIN(IF(COUNTIF($B$10:B11,"&gt;"&amp;'1_PHIEU_TU_VAN'!$K$10)&lt;=12,1.5%,2%),95%-N($G10))))))</f>
        <v>2.5000000000000001E-2</v>
      </c>
      <c r="E11" s="75">
        <f t="shared" si="0"/>
        <v>237407500</v>
      </c>
      <c r="F11" s="75">
        <f>IF(G11="","",$G$5*G11)</f>
        <v>1661852500</v>
      </c>
      <c r="G11" s="72">
        <f t="shared" ref="G11:G18" si="2">IF(D11="","",N($G10)+D11)</f>
        <v>0.17499999999999999</v>
      </c>
      <c r="H11" s="73" t="str">
        <f>IF(B11="","",IF(B11='1_PHIEU_TU_VAN'!$K$9,"Đã bao gồm 100 triệu đặt cọc",IF(B11='1_PHIEU_TU_VAN'!$K$10,"Mốc nhận nhà dự kiến","")))</f>
        <v/>
      </c>
    </row>
    <row r="12" spans="1:8">
      <c r="A12" s="71" t="str">
        <f>IF(B12="","","Đợt "&amp;COUNT($B$10:B12))</f>
        <v>Đợt 3</v>
      </c>
      <c r="B12" s="74">
        <f>IF(N($G11)&gt;=95%,"",IF(COUNTIF($B$10:$B11,'1_PHIEU_TU_VAN'!$K$10)&gt;0,EDATE('1_PHIEU_TU_VAN'!$K$10,COUNTIF($B$10:$B11,"&gt;"&amp;'1_PHIEU_TU_VAN'!$K$10)+1),MIN(EDATE('1_PHIEU_TU_VAN'!$K$9,2),'1_PHIEU_TU_VAN'!$K$10)))</f>
        <v>46356</v>
      </c>
      <c r="C12" s="71" t="str">
        <f>IF(B12="","",IF(B12='1_PHIEU_TU_VAN'!$K$9,"Ký HĐMB",IF(B12='1_PHIEU_TU_VAN'!$K$10,"Nhận nhà dự kiến",IF(B12&lt;'1_PHIEU_TU_VAN'!$K$10,"Sau 02 tháng","Sau nhận nhà "&amp;TEXT(COUNTIF($B$10:B12,"&gt;"&amp;'1_PHIEU_TU_VAN'!$K$10),"00")&amp;" tháng"))))</f>
        <v>Sau 02 tháng</v>
      </c>
      <c r="D12" s="72">
        <f>IF(B12="","",IF(B12='1_PHIEU_TU_VAN'!$K$10,MAX(0,'8_THAM_SO'!$C$4-N($G11)),IF(B12&lt;'1_PHIEU_TU_VAN'!$K$10,2.5%,IF(N($G11)&gt;=95%,0,MIN(IF(COUNTIF($B$10:B12,"&gt;"&amp;'1_PHIEU_TU_VAN'!$K$10)&lt;=12,1.5%,2%),95%-N($G11))))))</f>
        <v>2.5000000000000001E-2</v>
      </c>
      <c r="E12" s="75">
        <f t="shared" si="0"/>
        <v>237407500</v>
      </c>
      <c r="F12" s="75">
        <f t="shared" ref="F12:F56" si="3">IF(G12="","",$G$5*G12)</f>
        <v>1899259999.9999998</v>
      </c>
      <c r="G12" s="72">
        <f t="shared" si="2"/>
        <v>0.19999999999999998</v>
      </c>
      <c r="H12" s="73" t="str">
        <f>IF(B12="","",IF(B12='1_PHIEU_TU_VAN'!$K$9,"Đã bao gồm 100 triệu đặt cọc",IF(B12='1_PHIEU_TU_VAN'!$K$10,"Mốc nhận nhà dự kiến","")))</f>
        <v/>
      </c>
    </row>
    <row r="13" spans="1:8">
      <c r="A13" s="71" t="str">
        <f>IF(B13="","","Đợt "&amp;COUNT($B$10:B13))</f>
        <v>Đợt 4</v>
      </c>
      <c r="B13" s="74">
        <f>IF(N($G12)&gt;=95%,"",IF(COUNTIF($B$10:$B12,'1_PHIEU_TU_VAN'!$K$10)&gt;0,EDATE('1_PHIEU_TU_VAN'!$K$10,COUNTIF($B$10:$B12,"&gt;"&amp;'1_PHIEU_TU_VAN'!$K$10)+1),MIN(EDATE('1_PHIEU_TU_VAN'!$K$9,3),'1_PHIEU_TU_VAN'!$K$10)))</f>
        <v>46386</v>
      </c>
      <c r="C13" s="71" t="str">
        <f>IF(B13="","",IF(B13='1_PHIEU_TU_VAN'!$K$9,"Ký HĐMB",IF(B13='1_PHIEU_TU_VAN'!$K$10,"Nhận nhà dự kiến",IF(B13&lt;'1_PHIEU_TU_VAN'!$K$10,"Sau 03 tháng","Sau nhận nhà "&amp;TEXT(COUNTIF($B$10:B13,"&gt;"&amp;'1_PHIEU_TU_VAN'!$K$10),"00")&amp;" tháng"))))</f>
        <v>Sau 03 tháng</v>
      </c>
      <c r="D13" s="72">
        <f>IF(B13="","",IF(B13='1_PHIEU_TU_VAN'!$K$10,MAX(0,'8_THAM_SO'!$C$4-N($G12)),IF(B13&lt;'1_PHIEU_TU_VAN'!$K$10,0.5%,IF(N($G12)&gt;=95%,0,MIN(IF(COUNTIF($B$10:B13,"&gt;"&amp;'1_PHIEU_TU_VAN'!$K$10)&lt;=12,1.5%,2%),95%-N($G12))))))</f>
        <v>5.0000000000000001E-3</v>
      </c>
      <c r="E13" s="75">
        <f t="shared" si="0"/>
        <v>47481500</v>
      </c>
      <c r="F13" s="75">
        <f t="shared" si="3"/>
        <v>1946741500</v>
      </c>
      <c r="G13" s="72">
        <f t="shared" si="2"/>
        <v>0.20499999999999999</v>
      </c>
      <c r="H13" s="73" t="str">
        <f>IF(B13="","",IF(B13='1_PHIEU_TU_VAN'!$K$9,"Đã bao gồm 100 triệu đặt cọc",IF(B13='1_PHIEU_TU_VAN'!$K$10,"Mốc nhận nhà dự kiến","")))</f>
        <v/>
      </c>
    </row>
    <row r="14" spans="1:8">
      <c r="A14" s="71" t="str">
        <f>IF(B14="","","Đợt "&amp;COUNT($B$10:B14))</f>
        <v>Đợt 5</v>
      </c>
      <c r="B14" s="74">
        <f>IF(N($G13)&gt;=95%,"",IF(COUNTIF($B$10:$B13,'1_PHIEU_TU_VAN'!$K$10)&gt;0,EDATE('1_PHIEU_TU_VAN'!$K$10,COUNTIF($B$10:$B13,"&gt;"&amp;'1_PHIEU_TU_VAN'!$K$10)+1),MIN(EDATE('1_PHIEU_TU_VAN'!$K$9,4),'1_PHIEU_TU_VAN'!$K$10)))</f>
        <v>46417</v>
      </c>
      <c r="C14" s="71" t="str">
        <f>IF(B14="","",IF(B14='1_PHIEU_TU_VAN'!$K$9,"Ký HĐMB",IF(B14='1_PHIEU_TU_VAN'!$K$10,"Nhận nhà dự kiến",IF(B14&lt;'1_PHIEU_TU_VAN'!$K$10,"Sau 04 tháng","Sau nhận nhà "&amp;TEXT(COUNTIF($B$10:B14,"&gt;"&amp;'1_PHIEU_TU_VAN'!$K$10),"00")&amp;" tháng"))))</f>
        <v>Sau 04 tháng</v>
      </c>
      <c r="D14" s="72">
        <f>IF(B14="","",IF(B14='1_PHIEU_TU_VAN'!$K$10,MAX(0,'8_THAM_SO'!$C$4-N($G13)),IF(B14&lt;'1_PHIEU_TU_VAN'!$K$10,0.5%,IF(N($G13)&gt;=95%,0,MIN(IF(COUNTIF($B$10:B14,"&gt;"&amp;'1_PHIEU_TU_VAN'!$K$10)&lt;=12,1.5%,2%),95%-N($G13))))))</f>
        <v>5.0000000000000001E-3</v>
      </c>
      <c r="E14" s="75">
        <f t="shared" si="0"/>
        <v>47481500</v>
      </c>
      <c r="F14" s="75">
        <f t="shared" si="3"/>
        <v>1994223000</v>
      </c>
      <c r="G14" s="72">
        <f t="shared" si="2"/>
        <v>0.21</v>
      </c>
      <c r="H14" s="73" t="str">
        <f>IF(B14="","",IF(B14='1_PHIEU_TU_VAN'!$K$9,"Đã bao gồm 100 triệu đặt cọc",IF(B14='1_PHIEU_TU_VAN'!$K$10,"Mốc nhận nhà dự kiến","")))</f>
        <v/>
      </c>
    </row>
    <row r="15" spans="1:8">
      <c r="A15" s="71" t="str">
        <f>IF(B15="","","Đợt "&amp;COUNT($B$10:B15))</f>
        <v>Đợt 6</v>
      </c>
      <c r="B15" s="74">
        <f>IF(N($G14)&gt;=95%,"",IF(COUNTIF($B$10:$B14,'1_PHIEU_TU_VAN'!$K$10)&gt;0,EDATE('1_PHIEU_TU_VAN'!$K$10,COUNTIF($B$10:$B14,"&gt;"&amp;'1_PHIEU_TU_VAN'!$K$10)+1),MIN(EDATE('1_PHIEU_TU_VAN'!$K$9,5),'1_PHIEU_TU_VAN'!$K$10)))</f>
        <v>46446</v>
      </c>
      <c r="C15" s="71" t="str">
        <f>IF(B15="","",IF(B15='1_PHIEU_TU_VAN'!$K$9,"Ký HĐMB",IF(B15='1_PHIEU_TU_VAN'!$K$10,"Nhận nhà dự kiến",IF(B15&lt;'1_PHIEU_TU_VAN'!$K$10,"Sau 05 tháng","Sau nhận nhà "&amp;TEXT(COUNTIF($B$10:B15,"&gt;"&amp;'1_PHIEU_TU_VAN'!$K$10),"00")&amp;" tháng"))))</f>
        <v>Sau 05 tháng</v>
      </c>
      <c r="D15" s="72">
        <f>IF(B15="","",IF(B15='1_PHIEU_TU_VAN'!$K$10,MAX(0,'8_THAM_SO'!$C$4-N($G14)),IF(B15&lt;'1_PHIEU_TU_VAN'!$K$10,0.5%,IF(N($G14)&gt;=95%,0,MIN(IF(COUNTIF($B$10:B15,"&gt;"&amp;'1_PHIEU_TU_VAN'!$K$10)&lt;=12,1.5%,2%),95%-N($G14))))))</f>
        <v>5.0000000000000001E-3</v>
      </c>
      <c r="E15" s="75">
        <f t="shared" si="0"/>
        <v>47481500</v>
      </c>
      <c r="F15" s="75">
        <f t="shared" si="3"/>
        <v>2041704500</v>
      </c>
      <c r="G15" s="72">
        <f t="shared" si="2"/>
        <v>0.215</v>
      </c>
      <c r="H15" s="73" t="str">
        <f>IF(B15="","",IF(B15='1_PHIEU_TU_VAN'!$K$9,"Đã bao gồm 100 triệu đặt cọc",IF(B15='1_PHIEU_TU_VAN'!$K$10,"Mốc nhận nhà dự kiến","")))</f>
        <v/>
      </c>
    </row>
    <row r="16" spans="1:8">
      <c r="A16" s="71" t="str">
        <f>IF(B16="","","Đợt "&amp;COUNT($B$10:B16))</f>
        <v>Đợt 7</v>
      </c>
      <c r="B16" s="74">
        <f>IF(N($G15)&gt;=95%,"",IF(COUNTIF($B$10:$B15,'1_PHIEU_TU_VAN'!$K$10)&gt;0,EDATE('1_PHIEU_TU_VAN'!$K$10,COUNTIF($B$10:$B15,"&gt;"&amp;'1_PHIEU_TU_VAN'!$K$10)+1),MIN(EDATE('1_PHIEU_TU_VAN'!$K$9,6),'1_PHIEU_TU_VAN'!$K$10)))</f>
        <v>46476</v>
      </c>
      <c r="C16" s="71" t="str">
        <f>IF(B16="","",IF(B16='1_PHIEU_TU_VAN'!$K$9,"Ký HĐMB",IF(B16='1_PHIEU_TU_VAN'!$K$10,"Nhận nhà dự kiến",IF(B16&lt;'1_PHIEU_TU_VAN'!$K$10,"Sau 06 tháng","Sau nhận nhà "&amp;TEXT(COUNTIF($B$10:B16,"&gt;"&amp;'1_PHIEU_TU_VAN'!$K$10),"00")&amp;" tháng"))))</f>
        <v>Sau 06 tháng</v>
      </c>
      <c r="D16" s="72">
        <f>IF(B16="","",IF(B16='1_PHIEU_TU_VAN'!$K$10,MAX(0,'8_THAM_SO'!$C$4-N($G15)),IF(B16&lt;'1_PHIEU_TU_VAN'!$K$10,0.5%,IF(N($G15)&gt;=95%,0,MIN(IF(COUNTIF($B$10:B16,"&gt;"&amp;'1_PHIEU_TU_VAN'!$K$10)&lt;=12,1.5%,2%),95%-N($G15))))))</f>
        <v>5.0000000000000001E-3</v>
      </c>
      <c r="E16" s="75">
        <f t="shared" si="0"/>
        <v>47481500</v>
      </c>
      <c r="F16" s="75">
        <f t="shared" si="3"/>
        <v>2089186000</v>
      </c>
      <c r="G16" s="72">
        <f t="shared" si="2"/>
        <v>0.22</v>
      </c>
      <c r="H16" s="73" t="str">
        <f>IF(B16="","",IF(B16='1_PHIEU_TU_VAN'!$K$9,"Đã bao gồm 100 triệu đặt cọc",IF(B16='1_PHIEU_TU_VAN'!$K$10,"Mốc nhận nhà dự kiến","")))</f>
        <v/>
      </c>
    </row>
    <row r="17" spans="1:8">
      <c r="A17" s="71" t="str">
        <f>IF(B17="","","Đợt "&amp;COUNT($B$10:B17))</f>
        <v>Đợt 8</v>
      </c>
      <c r="B17" s="74">
        <f>IF(N($G16)&gt;=95%,"",IF(COUNTIF($B$10:$B16,'1_PHIEU_TU_VAN'!$K$10)&gt;0,EDATE('1_PHIEU_TU_VAN'!$K$10,COUNTIF($B$10:$B16,"&gt;"&amp;'1_PHIEU_TU_VAN'!$K$10)+1),MIN(EDATE('1_PHIEU_TU_VAN'!$K$9,7),'1_PHIEU_TU_VAN'!$K$10)))</f>
        <v>46507</v>
      </c>
      <c r="C17" s="71" t="str">
        <f>IF(B17="","",IF(B17='1_PHIEU_TU_VAN'!$K$9,"Ký HĐMB",IF(B17='1_PHIEU_TU_VAN'!$K$10,"Nhận nhà dự kiến",IF(B17&lt;'1_PHIEU_TU_VAN'!$K$10,"Sau 07 tháng","Sau nhận nhà "&amp;TEXT(COUNTIF($B$10:B17,"&gt;"&amp;'1_PHIEU_TU_VAN'!$K$10),"00")&amp;" tháng"))))</f>
        <v>Sau 07 tháng</v>
      </c>
      <c r="D17" s="72">
        <f>IF(B17="","",IF(B17='1_PHIEU_TU_VAN'!$K$10,MAX(0,'8_THAM_SO'!$C$4-N($G16)),IF(B17&lt;'1_PHIEU_TU_VAN'!$K$10,0.5%,IF(N($G16)&gt;=95%,0,MIN(IF(COUNTIF($B$10:B17,"&gt;"&amp;'1_PHIEU_TU_VAN'!$K$10)&lt;=12,1.5%,2%),95%-N($G16))))))</f>
        <v>5.0000000000000001E-3</v>
      </c>
      <c r="E17" s="75">
        <f t="shared" si="0"/>
        <v>47481500</v>
      </c>
      <c r="F17" s="75">
        <f t="shared" si="3"/>
        <v>2136667500</v>
      </c>
      <c r="G17" s="72">
        <f t="shared" si="2"/>
        <v>0.22500000000000001</v>
      </c>
      <c r="H17" s="73" t="str">
        <f>IF(B17="","",IF(B17='1_PHIEU_TU_VAN'!$K$9,"Đã bao gồm 100 triệu đặt cọc",IF(B17='1_PHIEU_TU_VAN'!$K$10,"Mốc nhận nhà dự kiến","")))</f>
        <v/>
      </c>
    </row>
    <row r="18" spans="1:8">
      <c r="A18" s="71" t="str">
        <f>IF(B18="","","Đợt "&amp;COUNT($B$10:B18))</f>
        <v>Đợt 9</v>
      </c>
      <c r="B18" s="74">
        <f>IF(N($G17)&gt;=95%,"",IF(COUNTIF($B$10:$B17,'1_PHIEU_TU_VAN'!$K$10)&gt;0,EDATE('1_PHIEU_TU_VAN'!$K$10,COUNTIF($B$10:$B17,"&gt;"&amp;'1_PHIEU_TU_VAN'!$K$10)+1),MIN(EDATE('1_PHIEU_TU_VAN'!$K$9,8),'1_PHIEU_TU_VAN'!$K$10)))</f>
        <v>46537</v>
      </c>
      <c r="C18" s="71" t="str">
        <f>IF(B18="","",IF(B18='1_PHIEU_TU_VAN'!$K$9,"Ký HĐMB",IF(B18='1_PHIEU_TU_VAN'!$K$10,"Nhận nhà dự kiến",IF(B18&lt;'1_PHIEU_TU_VAN'!$K$10,"Sau 08 tháng","Sau nhận nhà "&amp;TEXT(COUNTIF($B$10:B18,"&gt;"&amp;'1_PHIEU_TU_VAN'!$K$10),"00")&amp;" tháng"))))</f>
        <v>Sau 08 tháng</v>
      </c>
      <c r="D18" s="72">
        <f>IF(B18="","",IF(B18='1_PHIEU_TU_VAN'!$K$10,MAX(0,'8_THAM_SO'!$C$4-N($G17)),IF(B18&lt;'1_PHIEU_TU_VAN'!$K$10,0.5%,IF(N($G17)&gt;=95%,0,MIN(IF(COUNTIF($B$10:B18,"&gt;"&amp;'1_PHIEU_TU_VAN'!$K$10)&lt;=12,1.5%,2%),95%-N($G17))))))</f>
        <v>5.0000000000000001E-3</v>
      </c>
      <c r="E18" s="75">
        <f t="shared" si="0"/>
        <v>47481500</v>
      </c>
      <c r="F18" s="75">
        <f t="shared" si="3"/>
        <v>2184149000</v>
      </c>
      <c r="G18" s="72">
        <f t="shared" si="2"/>
        <v>0.23</v>
      </c>
      <c r="H18" s="73" t="str">
        <f>IF(B18="","",IF(B18='1_PHIEU_TU_VAN'!$K$9,"Đã bao gồm 100 triệu đặt cọc",IF(B18='1_PHIEU_TU_VAN'!$K$10,"Mốc nhận nhà dự kiến","")))</f>
        <v/>
      </c>
    </row>
    <row r="19" spans="1:8">
      <c r="A19" s="71" t="str">
        <f>IF(B19="","","Đợt "&amp;COUNT($B$10:B19))</f>
        <v>Đợt 10</v>
      </c>
      <c r="B19" s="74">
        <f>IF(N($G18)&gt;=95%,"",IF(COUNTIF($B$10:$B18,'1_PHIEU_TU_VAN'!$K$10)&gt;0,EDATE('1_PHIEU_TU_VAN'!$K$10,COUNTIF($B$10:$B18,"&gt;"&amp;'1_PHIEU_TU_VAN'!$K$10)+1),MIN(EDATE('1_PHIEU_TU_VAN'!$K$9,9),'1_PHIEU_TU_VAN'!$K$10)))</f>
        <v>46568</v>
      </c>
      <c r="C19" s="71" t="str">
        <f>IF(B19="","",IF(B19='1_PHIEU_TU_VAN'!$K$9,"Ký HĐMB",IF(B19='1_PHIEU_TU_VAN'!$K$10,"Nhận nhà dự kiến",IF(B19&lt;'1_PHIEU_TU_VAN'!$K$10,"Sau 09 tháng","Sau nhận nhà "&amp;TEXT(COUNTIF($B$10:B19,"&gt;"&amp;'1_PHIEU_TU_VAN'!$K$10),"00")&amp;" tháng"))))</f>
        <v>Nhận nhà dự kiến</v>
      </c>
      <c r="D19" s="72">
        <f>IF(B19="","",IF(B19='1_PHIEU_TU_VAN'!$K$10,MAX(0,'8_THAM_SO'!$C$4-N($G18)),IF(B19&lt;'1_PHIEU_TU_VAN'!$K$10,0.5%,IF(N($G18)&gt;=95%,0,MIN(IF(COUNTIF($B$10:B19,"&gt;"&amp;'1_PHIEU_TU_VAN'!$K$10)&lt;=12,1.5%,2%),95%-N($G18))))))</f>
        <v>1.999999999999999E-2</v>
      </c>
      <c r="E19" s="75">
        <f t="shared" si="0"/>
        <v>189925999.99999991</v>
      </c>
      <c r="F19" s="75">
        <f t="shared" si="3"/>
        <v>2374075000</v>
      </c>
      <c r="G19" s="72">
        <f>IF(D19="","",N($G18)+D19)</f>
        <v>0.25</v>
      </c>
      <c r="H19" s="73" t="str">
        <f>IF(B19="","",IF(B19='1_PHIEU_TU_VAN'!$K$9,"Đã bao gồm 100 triệu đặt cọc",IF(B19='1_PHIEU_TU_VAN'!$K$10,"Mốc nhận nhà dự kiến","")))</f>
        <v>Mốc nhận nhà dự kiến</v>
      </c>
    </row>
    <row r="20" spans="1:8">
      <c r="A20" s="71" t="str">
        <f>IF(B20="","","Đợt "&amp;COUNT($B$10:B20))</f>
        <v>Đợt 11</v>
      </c>
      <c r="B20" s="74">
        <f>IF(N($G19)&gt;=95%,"",IF(COUNTIF($B$10:$B19,'1_PHIEU_TU_VAN'!$K$10)&gt;0,EDATE('1_PHIEU_TU_VAN'!$K$10,COUNTIF($B$10:$B19,"&gt;"&amp;'1_PHIEU_TU_VAN'!$K$10)+1),MIN(EDATE('1_PHIEU_TU_VAN'!$K$9,10),'1_PHIEU_TU_VAN'!$K$10)))</f>
        <v>46598</v>
      </c>
      <c r="C20" s="71" t="str">
        <f>IF(B20="","",IF(B20='1_PHIEU_TU_VAN'!$K$9,"Ký HĐMB",IF(B20='1_PHIEU_TU_VAN'!$K$10,"Nhận nhà dự kiến",IF(B20&lt;'1_PHIEU_TU_VAN'!$K$10,"Sau 10 tháng","Sau nhận nhà "&amp;TEXT(COUNTIF($B$10:B20,"&gt;"&amp;'1_PHIEU_TU_VAN'!$K$10),"00")&amp;" tháng"))))</f>
        <v>Sau nhận nhà 01 tháng</v>
      </c>
      <c r="D20" s="72">
        <f>IF(B20="","",IF(B20='1_PHIEU_TU_VAN'!$K$10,MAX(0,'8_THAM_SO'!$C$4-N($G19)),IF(B20&lt;'1_PHIEU_TU_VAN'!$K$10,0.5%,IF(N($G19)&gt;=95%,0,MIN(IF(COUNTIF($B$10:B20,"&gt;"&amp;'1_PHIEU_TU_VAN'!$K$10)&lt;=12,1.5%,2%),95%-N($G19))))))</f>
        <v>1.4999999999999999E-2</v>
      </c>
      <c r="E20" s="75">
        <f t="shared" si="0"/>
        <v>142444500</v>
      </c>
      <c r="F20" s="75">
        <f t="shared" si="3"/>
        <v>2516519500</v>
      </c>
      <c r="G20" s="72">
        <f>IF(D20="","",N($G19)+D20)</f>
        <v>0.26500000000000001</v>
      </c>
      <c r="H20" s="73" t="str">
        <f>IF(B20="","",IF(B20='1_PHIEU_TU_VAN'!$K$9,"Đã bao gồm 100 triệu đặt cọc",IF(B20='1_PHIEU_TU_VAN'!$K$10,"Mốc nhận nhà dự kiến","")))</f>
        <v/>
      </c>
    </row>
    <row r="21" spans="1:8">
      <c r="A21" s="71" t="str">
        <f>IF(B21="","","Đợt "&amp;COUNT($B$10:B21))</f>
        <v>Đợt 12</v>
      </c>
      <c r="B21" s="74">
        <f>IF(N($G20)&gt;=95%,"",IF(COUNTIF($B$10:$B20,'1_PHIEU_TU_VAN'!$K$10)&gt;0,EDATE('1_PHIEU_TU_VAN'!$K$10,COUNTIF($B$10:$B20,"&gt;"&amp;'1_PHIEU_TU_VAN'!$K$10)+1),MIN(EDATE('1_PHIEU_TU_VAN'!$K$9,11),'1_PHIEU_TU_VAN'!$K$10)))</f>
        <v>46629</v>
      </c>
      <c r="C21" s="71" t="str">
        <f>IF(B21="","",IF(B21='1_PHIEU_TU_VAN'!$K$9,"Ký HĐMB",IF(B21='1_PHIEU_TU_VAN'!$K$10,"Nhận nhà dự kiến",IF(B21&lt;'1_PHIEU_TU_VAN'!$K$10,"Sau 11 tháng","Sau nhận nhà "&amp;TEXT(COUNTIF($B$10:B21,"&gt;"&amp;'1_PHIEU_TU_VAN'!$K$10),"00")&amp;" tháng"))))</f>
        <v>Sau nhận nhà 02 tháng</v>
      </c>
      <c r="D21" s="72">
        <f>IF(B21="","",IF(B21='1_PHIEU_TU_VAN'!$K$10,MAX(0,'8_THAM_SO'!$C$4-N($G20)),IF(B21&lt;'1_PHIEU_TU_VAN'!$K$10,0.5%,IF(N($G20)&gt;=95%,0,MIN(IF(COUNTIF($B$10:B21,"&gt;"&amp;'1_PHIEU_TU_VAN'!$K$10)&lt;=12,1.5%,2%),95%-N($G20))))))</f>
        <v>1.4999999999999999E-2</v>
      </c>
      <c r="E21" s="75">
        <f t="shared" si="0"/>
        <v>142444500</v>
      </c>
      <c r="F21" s="75">
        <f t="shared" si="3"/>
        <v>2658964000.0000005</v>
      </c>
      <c r="G21" s="72">
        <f t="shared" ref="G21:G58" si="4">IF(D21="","",N($G20)+D21)</f>
        <v>0.28000000000000003</v>
      </c>
      <c r="H21" s="73" t="str">
        <f>IF(B21="","",IF(B21='1_PHIEU_TU_VAN'!$K$9,"Đã bao gồm 100 triệu đặt cọc",IF(B21='1_PHIEU_TU_VAN'!$K$10,"Mốc nhận nhà dự kiến","")))</f>
        <v/>
      </c>
    </row>
    <row r="22" spans="1:8">
      <c r="A22" s="71" t="str">
        <f>IF(B22="","","Đợt "&amp;COUNT($B$10:B22))</f>
        <v>Đợt 13</v>
      </c>
      <c r="B22" s="74">
        <f>IF(N($G21)&gt;=95%,"",IF(COUNTIF($B$10:$B21,'1_PHIEU_TU_VAN'!$K$10)&gt;0,EDATE('1_PHIEU_TU_VAN'!$K$10,COUNTIF($B$10:$B21,"&gt;"&amp;'1_PHIEU_TU_VAN'!$K$10)+1),MIN(EDATE('1_PHIEU_TU_VAN'!$K$9,12),'1_PHIEU_TU_VAN'!$K$10)))</f>
        <v>46660</v>
      </c>
      <c r="C22" s="71" t="str">
        <f>IF(B22="","",IF(B22='1_PHIEU_TU_VAN'!$K$9,"Ký HĐMB",IF(B22='1_PHIEU_TU_VAN'!$K$10,"Nhận nhà dự kiến",IF(B22&lt;'1_PHIEU_TU_VAN'!$K$10,"Sau 12 tháng","Sau nhận nhà "&amp;TEXT(COUNTIF($B$10:B22,"&gt;"&amp;'1_PHIEU_TU_VAN'!$K$10),"00")&amp;" tháng"))))</f>
        <v>Sau nhận nhà 03 tháng</v>
      </c>
      <c r="D22" s="72">
        <f>IF(B22="","",IF(B22='1_PHIEU_TU_VAN'!$K$10,MAX(0,'8_THAM_SO'!$C$4-N($G21)),IF(B22&lt;'1_PHIEU_TU_VAN'!$K$10,0.5%,IF(N($G21)&gt;=95%,0,MIN(IF(COUNTIF($B$10:B22,"&gt;"&amp;'1_PHIEU_TU_VAN'!$K$10)&lt;=12,1.5%,2%),95%-N($G21))))))</f>
        <v>1.4999999999999999E-2</v>
      </c>
      <c r="E22" s="75">
        <f t="shared" si="0"/>
        <v>142444500</v>
      </c>
      <c r="F22" s="75">
        <f t="shared" si="3"/>
        <v>2801408500.0000005</v>
      </c>
      <c r="G22" s="72">
        <f t="shared" si="4"/>
        <v>0.29500000000000004</v>
      </c>
      <c r="H22" s="73" t="str">
        <f>IF(B22="","",IF(B22='1_PHIEU_TU_VAN'!$K$9,"Đã bao gồm 100 triệu đặt cọc",IF(B22='1_PHIEU_TU_VAN'!$K$10,"Mốc nhận nhà dự kiến","")))</f>
        <v/>
      </c>
    </row>
    <row r="23" spans="1:8">
      <c r="A23" s="71" t="str">
        <f>IF(B23="","","Đợt "&amp;COUNT($B$10:B23))</f>
        <v>Đợt 14</v>
      </c>
      <c r="B23" s="74">
        <f>IF(N($G22)&gt;=95%,"",IF(COUNTIF($B$10:$B22,'1_PHIEU_TU_VAN'!$K$10)&gt;0,EDATE('1_PHIEU_TU_VAN'!$K$10,COUNTIF($B$10:$B22,"&gt;"&amp;'1_PHIEU_TU_VAN'!$K$10)+1),MIN(EDATE('1_PHIEU_TU_VAN'!$K$9,13),'1_PHIEU_TU_VAN'!$K$10)))</f>
        <v>46690</v>
      </c>
      <c r="C23" s="71" t="str">
        <f>IF(B23="","",IF(B23='1_PHIEU_TU_VAN'!$K$9,"Ký HĐMB",IF(B23='1_PHIEU_TU_VAN'!$K$10,"Nhận nhà dự kiến",IF(B23&lt;'1_PHIEU_TU_VAN'!$K$10,"Sau 13 tháng","Sau nhận nhà "&amp;TEXT(COUNTIF($B$10:B23,"&gt;"&amp;'1_PHIEU_TU_VAN'!$K$10),"00")&amp;" tháng"))))</f>
        <v>Sau nhận nhà 04 tháng</v>
      </c>
      <c r="D23" s="72">
        <f>IF(B23="","",IF(B23='1_PHIEU_TU_VAN'!$K$10,MAX(0,'8_THAM_SO'!$C$4-N($G22)),IF(B23&lt;'1_PHIEU_TU_VAN'!$K$10,0.5%,IF(N($G22)&gt;=95%,0,MIN(IF(COUNTIF($B$10:B23,"&gt;"&amp;'1_PHIEU_TU_VAN'!$K$10)&lt;=12,1.5%,2%),95%-N($G22))))))</f>
        <v>1.4999999999999999E-2</v>
      </c>
      <c r="E23" s="75">
        <f t="shared" si="0"/>
        <v>142444500</v>
      </c>
      <c r="F23" s="75">
        <f t="shared" si="3"/>
        <v>2943853000.0000005</v>
      </c>
      <c r="G23" s="72">
        <f t="shared" si="4"/>
        <v>0.31000000000000005</v>
      </c>
      <c r="H23" s="73" t="str">
        <f>IF(B23="","",IF(B23='1_PHIEU_TU_VAN'!$K$9,"Đã bao gồm 100 triệu đặt cọc",IF(B23='1_PHIEU_TU_VAN'!$K$10,"Mốc nhận nhà dự kiến","")))</f>
        <v/>
      </c>
    </row>
    <row r="24" spans="1:8">
      <c r="A24" s="71" t="str">
        <f>IF(B24="","","Đợt "&amp;COUNT($B$10:B24))</f>
        <v>Đợt 15</v>
      </c>
      <c r="B24" s="74">
        <f>IF(N($G23)&gt;=95%,"",IF(COUNTIF($B$10:$B23,'1_PHIEU_TU_VAN'!$K$10)&gt;0,EDATE('1_PHIEU_TU_VAN'!$K$10,COUNTIF($B$10:$B23,"&gt;"&amp;'1_PHIEU_TU_VAN'!$K$10)+1),MIN(EDATE('1_PHIEU_TU_VAN'!$K$9,14),'1_PHIEU_TU_VAN'!$K$10)))</f>
        <v>46721</v>
      </c>
      <c r="C24" s="71" t="str">
        <f>IF(B24="","",IF(B24='1_PHIEU_TU_VAN'!$K$9,"Ký HĐMB",IF(B24='1_PHIEU_TU_VAN'!$K$10,"Nhận nhà dự kiến",IF(B24&lt;'1_PHIEU_TU_VAN'!$K$10,"Sau 14 tháng","Sau nhận nhà "&amp;TEXT(COUNTIF($B$10:B24,"&gt;"&amp;'1_PHIEU_TU_VAN'!$K$10),"00")&amp;" tháng"))))</f>
        <v>Sau nhận nhà 05 tháng</v>
      </c>
      <c r="D24" s="72">
        <f>IF(B24="","",IF(B24='1_PHIEU_TU_VAN'!$K$10,MAX(0,'8_THAM_SO'!$C$4-N($G23)),IF(B24&lt;'1_PHIEU_TU_VAN'!$K$10,0.5%,IF(N($G23)&gt;=95%,0,MIN(IF(COUNTIF($B$10:B24,"&gt;"&amp;'1_PHIEU_TU_VAN'!$K$10)&lt;=12,1.5%,2%),95%-N($G23))))))</f>
        <v>1.4999999999999999E-2</v>
      </c>
      <c r="E24" s="75">
        <f t="shared" si="0"/>
        <v>142444500</v>
      </c>
      <c r="F24" s="75">
        <f t="shared" si="3"/>
        <v>3086297500.0000005</v>
      </c>
      <c r="G24" s="72">
        <f t="shared" si="4"/>
        <v>0.32500000000000007</v>
      </c>
      <c r="H24" s="73" t="str">
        <f>IF(B24="","",IF(B24='1_PHIEU_TU_VAN'!$K$9,"Đã bao gồm 100 triệu đặt cọc",IF(B24='1_PHIEU_TU_VAN'!$K$10,"Mốc nhận nhà dự kiến","")))</f>
        <v/>
      </c>
    </row>
    <row r="25" spans="1:8">
      <c r="A25" s="71" t="str">
        <f>IF(B25="","","Đợt "&amp;COUNT($B$10:B25))</f>
        <v>Đợt 16</v>
      </c>
      <c r="B25" s="74">
        <f>IF(N($G24)&gt;=95%,"",IF(COUNTIF($B$10:$B24,'1_PHIEU_TU_VAN'!$K$10)&gt;0,EDATE('1_PHIEU_TU_VAN'!$K$10,COUNTIF($B$10:$B24,"&gt;"&amp;'1_PHIEU_TU_VAN'!$K$10)+1),MIN(EDATE('1_PHIEU_TU_VAN'!$K$9,15),'1_PHIEU_TU_VAN'!$K$10)))</f>
        <v>46751</v>
      </c>
      <c r="C25" s="71" t="str">
        <f>IF(B25="","",IF(B25='1_PHIEU_TU_VAN'!$K$9,"Ký HĐMB",IF(B25='1_PHIEU_TU_VAN'!$K$10,"Nhận nhà dự kiến",IF(B25&lt;'1_PHIEU_TU_VAN'!$K$10,"Sau 15 tháng","Sau nhận nhà "&amp;TEXT(COUNTIF($B$10:B25,"&gt;"&amp;'1_PHIEU_TU_VAN'!$K$10),"00")&amp;" tháng"))))</f>
        <v>Sau nhận nhà 06 tháng</v>
      </c>
      <c r="D25" s="72">
        <f>IF(B25="","",IF(B25='1_PHIEU_TU_VAN'!$K$10,MAX(0,'8_THAM_SO'!$C$4-N($G24)),IF(B25&lt;'1_PHIEU_TU_VAN'!$K$10,0.5%,IF(N($G24)&gt;=95%,0,MIN(IF(COUNTIF($B$10:B25,"&gt;"&amp;'1_PHIEU_TU_VAN'!$K$10)&lt;=12,1.5%,2%),95%-N($G24))))))</f>
        <v>1.4999999999999999E-2</v>
      </c>
      <c r="E25" s="75">
        <f t="shared" si="0"/>
        <v>142444500</v>
      </c>
      <c r="F25" s="75">
        <f t="shared" si="3"/>
        <v>3228742000.000001</v>
      </c>
      <c r="G25" s="72">
        <f t="shared" si="4"/>
        <v>0.34000000000000008</v>
      </c>
      <c r="H25" s="73" t="str">
        <f>IF(B25="","",IF(B25='1_PHIEU_TU_VAN'!$K$9,"Đã bao gồm 100 triệu đặt cọc",IF(B25='1_PHIEU_TU_VAN'!$K$10,"Mốc nhận nhà dự kiến","")))</f>
        <v/>
      </c>
    </row>
    <row r="26" spans="1:8">
      <c r="A26" s="71" t="str">
        <f>IF(B26="","","Đợt "&amp;COUNT($B$10:B26))</f>
        <v>Đợt 17</v>
      </c>
      <c r="B26" s="74">
        <f>IF(N($G25)&gt;=95%,"",IF(COUNTIF($B$10:$B25,'1_PHIEU_TU_VAN'!$K$10)&gt;0,EDATE('1_PHIEU_TU_VAN'!$K$10,COUNTIF($B$10:$B25,"&gt;"&amp;'1_PHIEU_TU_VAN'!$K$10)+1),MIN(EDATE('1_PHIEU_TU_VAN'!$K$9,16),'1_PHIEU_TU_VAN'!$K$10)))</f>
        <v>46782</v>
      </c>
      <c r="C26" s="71" t="str">
        <f>IF(B26="","",IF(B26='1_PHIEU_TU_VAN'!$K$9,"Ký HĐMB",IF(B26='1_PHIEU_TU_VAN'!$K$10,"Nhận nhà dự kiến",IF(B26&lt;'1_PHIEU_TU_VAN'!$K$10,"Sau 16 tháng","Sau nhận nhà "&amp;TEXT(COUNTIF($B$10:B26,"&gt;"&amp;'1_PHIEU_TU_VAN'!$K$10),"00")&amp;" tháng"))))</f>
        <v>Sau nhận nhà 07 tháng</v>
      </c>
      <c r="D26" s="72">
        <f>IF(B26="","",IF(B26='1_PHIEU_TU_VAN'!$K$10,MAX(0,'8_THAM_SO'!$C$4-N($G25)),IF(B26&lt;'1_PHIEU_TU_VAN'!$K$10,0.5%,IF(N($G25)&gt;=95%,0,MIN(IF(COUNTIF($B$10:B26,"&gt;"&amp;'1_PHIEU_TU_VAN'!$K$10)&lt;=12,1.5%,2%),95%-N($G25))))))</f>
        <v>1.4999999999999999E-2</v>
      </c>
      <c r="E26" s="75">
        <f t="shared" si="0"/>
        <v>142444500</v>
      </c>
      <c r="F26" s="75">
        <f t="shared" si="3"/>
        <v>3371186500.000001</v>
      </c>
      <c r="G26" s="72">
        <f t="shared" si="4"/>
        <v>0.35500000000000009</v>
      </c>
      <c r="H26" s="73" t="str">
        <f>IF(B26="","",IF(B26='1_PHIEU_TU_VAN'!$K$9,"Đã bao gồm 100 triệu đặt cọc",IF(B26='1_PHIEU_TU_VAN'!$K$10,"Mốc nhận nhà dự kiến","")))</f>
        <v/>
      </c>
    </row>
    <row r="27" spans="1:8">
      <c r="A27" s="71" t="str">
        <f>IF(B27="","","Đợt "&amp;COUNT($B$10:B27))</f>
        <v>Đợt 18</v>
      </c>
      <c r="B27" s="74">
        <f>IF(N($G26)&gt;=95%,"",IF(COUNTIF($B$10:$B26,'1_PHIEU_TU_VAN'!$K$10)&gt;0,EDATE('1_PHIEU_TU_VAN'!$K$10,COUNTIF($B$10:$B26,"&gt;"&amp;'1_PHIEU_TU_VAN'!$K$10)+1),MIN(EDATE('1_PHIEU_TU_VAN'!$K$9,17),'1_PHIEU_TU_VAN'!$K$10)))</f>
        <v>46812</v>
      </c>
      <c r="C27" s="71" t="str">
        <f>IF(B27="","",IF(B27='1_PHIEU_TU_VAN'!$K$9,"Ký HĐMB",IF(B27='1_PHIEU_TU_VAN'!$K$10,"Nhận nhà dự kiến",IF(B27&lt;'1_PHIEU_TU_VAN'!$K$10,"Sau 17 tháng","Sau nhận nhà "&amp;TEXT(COUNTIF($B$10:B27,"&gt;"&amp;'1_PHIEU_TU_VAN'!$K$10),"00")&amp;" tháng"))))</f>
        <v>Sau nhận nhà 08 tháng</v>
      </c>
      <c r="D27" s="72">
        <f>IF(B27="","",IF(B27='1_PHIEU_TU_VAN'!$K$10,MAX(0,'8_THAM_SO'!$C$4-N($G26)),IF(B27&lt;'1_PHIEU_TU_VAN'!$K$10,0.5%,IF(N($G26)&gt;=95%,0,MIN(IF(COUNTIF($B$10:B27,"&gt;"&amp;'1_PHIEU_TU_VAN'!$K$10)&lt;=12,1.5%,2%),95%-N($G26))))))</f>
        <v>1.4999999999999999E-2</v>
      </c>
      <c r="E27" s="75">
        <f t="shared" si="0"/>
        <v>142444500</v>
      </c>
      <c r="F27" s="75">
        <f t="shared" si="3"/>
        <v>3513631000.000001</v>
      </c>
      <c r="G27" s="72">
        <f t="shared" si="4"/>
        <v>0.37000000000000011</v>
      </c>
      <c r="H27" s="73" t="str">
        <f>IF(B27="","",IF(B27='1_PHIEU_TU_VAN'!$K$9,"Đã bao gồm 100 triệu đặt cọc",IF(B27='1_PHIEU_TU_VAN'!$K$10,"Mốc nhận nhà dự kiến","")))</f>
        <v/>
      </c>
    </row>
    <row r="28" spans="1:8">
      <c r="A28" s="71" t="str">
        <f>IF(B28="","","Đợt "&amp;COUNT($B$10:B28))</f>
        <v>Đợt 19</v>
      </c>
      <c r="B28" s="74">
        <f>IF(N($G27)&gt;=95%,"",IF(COUNTIF($B$10:$B27,'1_PHIEU_TU_VAN'!$K$10)&gt;0,EDATE('1_PHIEU_TU_VAN'!$K$10,COUNTIF($B$10:$B27,"&gt;"&amp;'1_PHIEU_TU_VAN'!$K$10)+1),MIN(EDATE('1_PHIEU_TU_VAN'!$K$9,18),'1_PHIEU_TU_VAN'!$K$10)))</f>
        <v>46842</v>
      </c>
      <c r="C28" s="71" t="str">
        <f>IF(B28="","",IF(B28='1_PHIEU_TU_VAN'!$K$9,"Ký HĐMB",IF(B28='1_PHIEU_TU_VAN'!$K$10,"Nhận nhà dự kiến",IF(B28&lt;'1_PHIEU_TU_VAN'!$K$10,"Sau 18 tháng","Sau nhận nhà "&amp;TEXT(COUNTIF($B$10:B28,"&gt;"&amp;'1_PHIEU_TU_VAN'!$K$10),"00")&amp;" tháng"))))</f>
        <v>Sau nhận nhà 09 tháng</v>
      </c>
      <c r="D28" s="72">
        <f>IF(B28="","",IF(B28='1_PHIEU_TU_VAN'!$K$10,MAX(0,'8_THAM_SO'!$C$4-N($G27)),IF(B28&lt;'1_PHIEU_TU_VAN'!$K$10,0.5%,IF(N($G27)&gt;=95%,0,MIN(IF(COUNTIF($B$10:B28,"&gt;"&amp;'1_PHIEU_TU_VAN'!$K$10)&lt;=12,1.5%,2%),95%-N($G27))))))</f>
        <v>1.4999999999999999E-2</v>
      </c>
      <c r="E28" s="75">
        <f t="shared" si="0"/>
        <v>142444500</v>
      </c>
      <c r="F28" s="75">
        <f t="shared" si="3"/>
        <v>3656075500.000001</v>
      </c>
      <c r="G28" s="72">
        <f t="shared" si="4"/>
        <v>0.38500000000000012</v>
      </c>
      <c r="H28" s="73" t="str">
        <f>IF(B28="","",IF(B28='1_PHIEU_TU_VAN'!$K$9,"Đã bao gồm 100 triệu đặt cọc",IF(B28='1_PHIEU_TU_VAN'!$K$10,"Mốc nhận nhà dự kiến","")))</f>
        <v/>
      </c>
    </row>
    <row r="29" spans="1:8">
      <c r="A29" s="71" t="str">
        <f>IF(B29="","","Đợt "&amp;COUNT($B$10:B29))</f>
        <v>Đợt 20</v>
      </c>
      <c r="B29" s="74">
        <f>IF(N($G28)&gt;=95%,"",IF(COUNTIF($B$10:$B28,'1_PHIEU_TU_VAN'!$K$10)&gt;0,EDATE('1_PHIEU_TU_VAN'!$K$10,COUNTIF($B$10:$B28,"&gt;"&amp;'1_PHIEU_TU_VAN'!$K$10)+1),MIN(EDATE('1_PHIEU_TU_VAN'!$K$9,19),'1_PHIEU_TU_VAN'!$K$10)))</f>
        <v>46873</v>
      </c>
      <c r="C29" s="71" t="str">
        <f>IF(B29="","",IF(B29='1_PHIEU_TU_VAN'!$K$9,"Ký HĐMB",IF(B29='1_PHIEU_TU_VAN'!$K$10,"Nhận nhà dự kiến",IF(B29&lt;'1_PHIEU_TU_VAN'!$K$10,"Sau 19 tháng","Sau nhận nhà "&amp;TEXT(COUNTIF($B$10:B29,"&gt;"&amp;'1_PHIEU_TU_VAN'!$K$10),"00")&amp;" tháng"))))</f>
        <v>Sau nhận nhà 10 tháng</v>
      </c>
      <c r="D29" s="72">
        <f>IF(B29="","",IF(B29='1_PHIEU_TU_VAN'!$K$10,MAX(0,'8_THAM_SO'!$C$4-N($G28)),IF(B29&lt;'1_PHIEU_TU_VAN'!$K$10,0.5%,IF(N($G28)&gt;=95%,0,MIN(IF(COUNTIF($B$10:B29,"&gt;"&amp;'1_PHIEU_TU_VAN'!$K$10)&lt;=12,1.5%,2%),95%-N($G28))))))</f>
        <v>1.4999999999999999E-2</v>
      </c>
      <c r="E29" s="75">
        <f t="shared" si="0"/>
        <v>142444500</v>
      </c>
      <c r="F29" s="75">
        <f t="shared" si="3"/>
        <v>3798520000.0000014</v>
      </c>
      <c r="G29" s="72">
        <f t="shared" si="4"/>
        <v>0.40000000000000013</v>
      </c>
      <c r="H29" s="73" t="str">
        <f>IF(B29="","",IF(B29='1_PHIEU_TU_VAN'!$K$9,"Đã bao gồm 100 triệu đặt cọc",IF(B29='1_PHIEU_TU_VAN'!$K$10,"Mốc nhận nhà dự kiến","")))</f>
        <v/>
      </c>
    </row>
    <row r="30" spans="1:8">
      <c r="A30" s="71" t="str">
        <f>IF(B30="","","Đợt "&amp;COUNT($B$10:B30))</f>
        <v>Đợt 21</v>
      </c>
      <c r="B30" s="74">
        <f>IF(N($G29)&gt;=95%,"",IF(COUNTIF($B$10:$B29,'1_PHIEU_TU_VAN'!$K$10)&gt;0,EDATE('1_PHIEU_TU_VAN'!$K$10,COUNTIF($B$10:$B29,"&gt;"&amp;'1_PHIEU_TU_VAN'!$K$10)+1),MIN(EDATE('1_PHIEU_TU_VAN'!$K$9,20),'1_PHIEU_TU_VAN'!$K$10)))</f>
        <v>46903</v>
      </c>
      <c r="C30" s="71" t="str">
        <f>IF(B30="","",IF(B30='1_PHIEU_TU_VAN'!$K$9,"Ký HĐMB",IF(B30='1_PHIEU_TU_VAN'!$K$10,"Nhận nhà dự kiến",IF(B30&lt;'1_PHIEU_TU_VAN'!$K$10,"Sau 20 tháng","Sau nhận nhà "&amp;TEXT(COUNTIF($B$10:B30,"&gt;"&amp;'1_PHIEU_TU_VAN'!$K$10),"00")&amp;" tháng"))))</f>
        <v>Sau nhận nhà 11 tháng</v>
      </c>
      <c r="D30" s="72">
        <f>IF(B30="","",IF(B30='1_PHIEU_TU_VAN'!$K$10,MAX(0,'8_THAM_SO'!$C$4-N($G29)),IF(B30&lt;'1_PHIEU_TU_VAN'!$K$10,0.5%,IF(N($G29)&gt;=95%,0,MIN(IF(COUNTIF($B$10:B30,"&gt;"&amp;'1_PHIEU_TU_VAN'!$K$10)&lt;=12,1.5%,2%),95%-N($G29))))))</f>
        <v>1.4999999999999999E-2</v>
      </c>
      <c r="E30" s="75">
        <f t="shared" si="0"/>
        <v>142444500</v>
      </c>
      <c r="F30" s="75">
        <f t="shared" si="3"/>
        <v>3940964500.0000014</v>
      </c>
      <c r="G30" s="72">
        <f t="shared" si="4"/>
        <v>0.41500000000000015</v>
      </c>
      <c r="H30" s="73" t="str">
        <f>IF(B30="","",IF(B30='1_PHIEU_TU_VAN'!$K$9,"Đã bao gồm 100 triệu đặt cọc",IF(B30='1_PHIEU_TU_VAN'!$K$10,"Mốc nhận nhà dự kiến","")))</f>
        <v/>
      </c>
    </row>
    <row r="31" spans="1:8">
      <c r="A31" s="71" t="str">
        <f>IF(B31="","","Đợt "&amp;COUNT($B$10:B31))</f>
        <v>Đợt 22</v>
      </c>
      <c r="B31" s="74">
        <f>IF(N($G30)&gt;=95%,"",IF(COUNTIF($B$10:$B30,'1_PHIEU_TU_VAN'!$K$10)&gt;0,EDATE('1_PHIEU_TU_VAN'!$K$10,COUNTIF($B$10:$B30,"&gt;"&amp;'1_PHIEU_TU_VAN'!$K$10)+1),MIN(EDATE('1_PHIEU_TU_VAN'!$K$9,21),'1_PHIEU_TU_VAN'!$K$10)))</f>
        <v>46934</v>
      </c>
      <c r="C31" s="71" t="str">
        <f>IF(B31="","",IF(B31='1_PHIEU_TU_VAN'!$K$9,"Ký HĐMB",IF(B31='1_PHIEU_TU_VAN'!$K$10,"Nhận nhà dự kiến",IF(B31&lt;'1_PHIEU_TU_VAN'!$K$10,"Sau 21 tháng","Sau nhận nhà "&amp;TEXT(COUNTIF($B$10:B31,"&gt;"&amp;'1_PHIEU_TU_VAN'!$K$10),"00")&amp;" tháng"))))</f>
        <v>Sau nhận nhà 12 tháng</v>
      </c>
      <c r="D31" s="72">
        <f>IF(B31="","",IF(B31='1_PHIEU_TU_VAN'!$K$10,MAX(0,'8_THAM_SO'!$C$4-N($G30)),IF(B31&lt;'1_PHIEU_TU_VAN'!$K$10,0.5%,IF(N($G30)&gt;=95%,0,MIN(IF(COUNTIF($B$10:B31,"&gt;"&amp;'1_PHIEU_TU_VAN'!$K$10)&lt;=12,1.5%,2%),95%-N($G30))))))</f>
        <v>1.4999999999999999E-2</v>
      </c>
      <c r="E31" s="75">
        <f t="shared" si="0"/>
        <v>142444500</v>
      </c>
      <c r="F31" s="75">
        <f t="shared" si="3"/>
        <v>4083409000.0000014</v>
      </c>
      <c r="G31" s="72">
        <f t="shared" si="4"/>
        <v>0.43000000000000016</v>
      </c>
      <c r="H31" s="73" t="str">
        <f>IF(B31="","",IF(B31='1_PHIEU_TU_VAN'!$K$9,"Đã bao gồm 100 triệu đặt cọc",IF(B31='1_PHIEU_TU_VAN'!$K$10,"Mốc nhận nhà dự kiến","")))</f>
        <v/>
      </c>
    </row>
    <row r="32" spans="1:8">
      <c r="A32" s="71" t="str">
        <f>IF(B32="","","Đợt "&amp;COUNT($B$10:B32))</f>
        <v>Đợt 23</v>
      </c>
      <c r="B32" s="74">
        <f>IF(N($G31)&gt;=95%,"",IF(COUNTIF($B$10:$B31,'1_PHIEU_TU_VAN'!$K$10)&gt;0,EDATE('1_PHIEU_TU_VAN'!$K$10,COUNTIF($B$10:$B31,"&gt;"&amp;'1_PHIEU_TU_VAN'!$K$10)+1),MIN(EDATE('1_PHIEU_TU_VAN'!$K$9,22),'1_PHIEU_TU_VAN'!$K$10)))</f>
        <v>46964</v>
      </c>
      <c r="C32" s="71" t="str">
        <f>IF(B32="","",IF(B32='1_PHIEU_TU_VAN'!$K$9,"Ký HĐMB",IF(B32='1_PHIEU_TU_VAN'!$K$10,"Nhận nhà dự kiến",IF(B32&lt;'1_PHIEU_TU_VAN'!$K$10,"Sau 22 tháng","Sau nhận nhà "&amp;TEXT(COUNTIF($B$10:B32,"&gt;"&amp;'1_PHIEU_TU_VAN'!$K$10),"00")&amp;" tháng"))))</f>
        <v>Sau nhận nhà 13 tháng</v>
      </c>
      <c r="D32" s="72">
        <f>IF(B32="","",IF(B32='1_PHIEU_TU_VAN'!$K$10,MAX(0,'8_THAM_SO'!$C$4-N($G31)),IF(B32&lt;'1_PHIEU_TU_VAN'!$K$10,0.5%,IF(N($G31)&gt;=95%,0,MIN(IF(COUNTIF($B$10:B32,"&gt;"&amp;'1_PHIEU_TU_VAN'!$K$10)&lt;=12,1.5%,2%),95%-N($G31))))))</f>
        <v>0.02</v>
      </c>
      <c r="E32" s="75">
        <f t="shared" si="0"/>
        <v>189926000</v>
      </c>
      <c r="F32" s="75">
        <f t="shared" si="3"/>
        <v>4273335000.0000019</v>
      </c>
      <c r="G32" s="72">
        <f t="shared" si="4"/>
        <v>0.45000000000000018</v>
      </c>
      <c r="H32" s="73" t="str">
        <f>IF(B32="","",IF(B32='1_PHIEU_TU_VAN'!$K$9,"Đã bao gồm 100 triệu đặt cọc",IF(B32='1_PHIEU_TU_VAN'!$K$10,"Mốc nhận nhà dự kiến","")))</f>
        <v/>
      </c>
    </row>
    <row r="33" spans="1:8">
      <c r="A33" s="71" t="str">
        <f>IF(B33="","","Đợt "&amp;COUNT($B$10:B33))</f>
        <v>Đợt 24</v>
      </c>
      <c r="B33" s="74">
        <f>IF(N($G32)&gt;=95%,"",IF(COUNTIF($B$10:$B32,'1_PHIEU_TU_VAN'!$K$10)&gt;0,EDATE('1_PHIEU_TU_VAN'!$K$10,COUNTIF($B$10:$B32,"&gt;"&amp;'1_PHIEU_TU_VAN'!$K$10)+1),MIN(EDATE('1_PHIEU_TU_VAN'!$K$9,23),'1_PHIEU_TU_VAN'!$K$10)))</f>
        <v>46995</v>
      </c>
      <c r="C33" s="71" t="str">
        <f>IF(B33="","",IF(B33='1_PHIEU_TU_VAN'!$K$9,"Ký HĐMB",IF(B33='1_PHIEU_TU_VAN'!$K$10,"Nhận nhà dự kiến",IF(B33&lt;'1_PHIEU_TU_VAN'!$K$10,"Sau 23 tháng","Sau nhận nhà "&amp;TEXT(COUNTIF($B$10:B33,"&gt;"&amp;'1_PHIEU_TU_VAN'!$K$10),"00")&amp;" tháng"))))</f>
        <v>Sau nhận nhà 14 tháng</v>
      </c>
      <c r="D33" s="72">
        <f>IF(B33="","",IF(B33='1_PHIEU_TU_VAN'!$K$10,MAX(0,'8_THAM_SO'!$C$4-N($G32)),IF(B33&lt;'1_PHIEU_TU_VAN'!$K$10,0.5%,IF(N($G32)&gt;=95%,0,MIN(IF(COUNTIF($B$10:B33,"&gt;"&amp;'1_PHIEU_TU_VAN'!$K$10)&lt;=12,1.5%,2%),95%-N($G32))))))</f>
        <v>0.02</v>
      </c>
      <c r="E33" s="75">
        <f t="shared" si="0"/>
        <v>189926000</v>
      </c>
      <c r="F33" s="75">
        <f t="shared" si="3"/>
        <v>4463261000.0000019</v>
      </c>
      <c r="G33" s="72">
        <f t="shared" si="4"/>
        <v>0.4700000000000002</v>
      </c>
      <c r="H33" s="73" t="str">
        <f>IF(B33="","",IF(B33='1_PHIEU_TU_VAN'!$K$9,"Đã bao gồm 100 triệu đặt cọc",IF(B33='1_PHIEU_TU_VAN'!$K$10,"Mốc nhận nhà dự kiến","")))</f>
        <v/>
      </c>
    </row>
    <row r="34" spans="1:8">
      <c r="A34" s="71" t="str">
        <f>IF(B34="","","Đợt "&amp;COUNT($B$10:B34))</f>
        <v>Đợt 25</v>
      </c>
      <c r="B34" s="74">
        <f>IF(N($G33)&gt;=95%,"",IF(COUNTIF($B$10:$B33,'1_PHIEU_TU_VAN'!$K$10)&gt;0,EDATE('1_PHIEU_TU_VAN'!$K$10,COUNTIF($B$10:$B33,"&gt;"&amp;'1_PHIEU_TU_VAN'!$K$10)+1),MIN(EDATE('1_PHIEU_TU_VAN'!$K$9,24),'1_PHIEU_TU_VAN'!$K$10)))</f>
        <v>47026</v>
      </c>
      <c r="C34" s="71" t="str">
        <f>IF(B34="","",IF(B34='1_PHIEU_TU_VAN'!$K$9,"Ký HĐMB",IF(B34='1_PHIEU_TU_VAN'!$K$10,"Nhận nhà dự kiến",IF(B34&lt;'1_PHIEU_TU_VAN'!$K$10,"Sau 24 tháng","Sau nhận nhà "&amp;TEXT(COUNTIF($B$10:B34,"&gt;"&amp;'1_PHIEU_TU_VAN'!$K$10),"00")&amp;" tháng"))))</f>
        <v>Sau nhận nhà 15 tháng</v>
      </c>
      <c r="D34" s="72">
        <f>IF(B34="","",IF(B34='1_PHIEU_TU_VAN'!$K$10,MAX(0,'8_THAM_SO'!$C$4-N($G33)),IF(B34&lt;'1_PHIEU_TU_VAN'!$K$10,0.5%,IF(N($G33)&gt;=95%,0,MIN(IF(COUNTIF($B$10:B34,"&gt;"&amp;'1_PHIEU_TU_VAN'!$K$10)&lt;=12,1.5%,2%),95%-N($G33))))))</f>
        <v>0.02</v>
      </c>
      <c r="E34" s="75">
        <f t="shared" si="0"/>
        <v>189926000</v>
      </c>
      <c r="F34" s="75">
        <f t="shared" si="3"/>
        <v>4653187000.0000019</v>
      </c>
      <c r="G34" s="72">
        <f t="shared" si="4"/>
        <v>0.49000000000000021</v>
      </c>
      <c r="H34" s="73" t="str">
        <f>IF(B34="","",IF(B34='1_PHIEU_TU_VAN'!$K$9,"Đã bao gồm 100 triệu đặt cọc",IF(B34='1_PHIEU_TU_VAN'!$K$10,"Mốc nhận nhà dự kiến","")))</f>
        <v/>
      </c>
    </row>
    <row r="35" spans="1:8">
      <c r="A35" s="71" t="str">
        <f>IF(B35="","","Đợt "&amp;COUNT($B$10:B35))</f>
        <v>Đợt 26</v>
      </c>
      <c r="B35" s="74">
        <f>IF(N($G34)&gt;=95%,"",IF(COUNTIF($B$10:$B34,'1_PHIEU_TU_VAN'!$K$10)&gt;0,EDATE('1_PHIEU_TU_VAN'!$K$10,COUNTIF($B$10:$B34,"&gt;"&amp;'1_PHIEU_TU_VAN'!$K$10)+1),MIN(EDATE('1_PHIEU_TU_VAN'!$K$9,25),'1_PHIEU_TU_VAN'!$K$10)))</f>
        <v>47056</v>
      </c>
      <c r="C35" s="71" t="str">
        <f>IF(B35="","",IF(B35='1_PHIEU_TU_VAN'!$K$9,"Ký HĐMB",IF(B35='1_PHIEU_TU_VAN'!$K$10,"Nhận nhà dự kiến",IF(B35&lt;'1_PHIEU_TU_VAN'!$K$10,"Sau 25 tháng","Sau nhận nhà "&amp;TEXT(COUNTIF($B$10:B35,"&gt;"&amp;'1_PHIEU_TU_VAN'!$K$10),"00")&amp;" tháng"))))</f>
        <v>Sau nhận nhà 16 tháng</v>
      </c>
      <c r="D35" s="72">
        <f>IF(B35="","",IF(B35='1_PHIEU_TU_VAN'!$K$10,MAX(0,'8_THAM_SO'!$C$4-N($G34)),IF(B35&lt;'1_PHIEU_TU_VAN'!$K$10,0.5%,IF(N($G34)&gt;=95%,0,MIN(IF(COUNTIF($B$10:B35,"&gt;"&amp;'1_PHIEU_TU_VAN'!$K$10)&lt;=12,1.5%,2%),95%-N($G34))))))</f>
        <v>0.02</v>
      </c>
      <c r="E35" s="75">
        <f t="shared" si="0"/>
        <v>189926000</v>
      </c>
      <c r="F35" s="75">
        <f t="shared" si="3"/>
        <v>4843113000.0000019</v>
      </c>
      <c r="G35" s="72">
        <f t="shared" si="4"/>
        <v>0.51000000000000023</v>
      </c>
      <c r="H35" s="73" t="str">
        <f>IF(B35="","",IF(B35='1_PHIEU_TU_VAN'!$K$9,"Đã bao gồm 100 triệu đặt cọc",IF(B35='1_PHIEU_TU_VAN'!$K$10,"Mốc nhận nhà dự kiến","")))</f>
        <v/>
      </c>
    </row>
    <row r="36" spans="1:8">
      <c r="A36" s="71" t="str">
        <f>IF(B36="","","Đợt "&amp;COUNT($B$10:B36))</f>
        <v>Đợt 27</v>
      </c>
      <c r="B36" s="74">
        <f>IF(N($G35)&gt;=95%,"",IF(COUNTIF($B$10:$B35,'1_PHIEU_TU_VAN'!$K$10)&gt;0,EDATE('1_PHIEU_TU_VAN'!$K$10,COUNTIF($B$10:$B35,"&gt;"&amp;'1_PHIEU_TU_VAN'!$K$10)+1),MIN(EDATE('1_PHIEU_TU_VAN'!$K$9,26),'1_PHIEU_TU_VAN'!$K$10)))</f>
        <v>47087</v>
      </c>
      <c r="C36" s="71" t="str">
        <f>IF(B36="","",IF(B36='1_PHIEU_TU_VAN'!$K$9,"Ký HĐMB",IF(B36='1_PHIEU_TU_VAN'!$K$10,"Nhận nhà dự kiến",IF(B36&lt;'1_PHIEU_TU_VAN'!$K$10,"Sau 26 tháng","Sau nhận nhà "&amp;TEXT(COUNTIF($B$10:B36,"&gt;"&amp;'1_PHIEU_TU_VAN'!$K$10),"00")&amp;" tháng"))))</f>
        <v>Sau nhận nhà 17 tháng</v>
      </c>
      <c r="D36" s="72">
        <f>IF(B36="","",IF(B36='1_PHIEU_TU_VAN'!$K$10,MAX(0,'8_THAM_SO'!$C$4-N($G35)),IF(B36&lt;'1_PHIEU_TU_VAN'!$K$10,0.5%,IF(N($G35)&gt;=95%,0,MIN(IF(COUNTIF($B$10:B36,"&gt;"&amp;'1_PHIEU_TU_VAN'!$K$10)&lt;=12,1.5%,2%),95%-N($G35))))))</f>
        <v>0.02</v>
      </c>
      <c r="E36" s="75">
        <f t="shared" si="0"/>
        <v>189926000</v>
      </c>
      <c r="F36" s="75">
        <f t="shared" si="3"/>
        <v>5033039000.0000019</v>
      </c>
      <c r="G36" s="72">
        <f t="shared" si="4"/>
        <v>0.53000000000000025</v>
      </c>
      <c r="H36" s="73" t="str">
        <f>IF(B36="","",IF(B36='1_PHIEU_TU_VAN'!$K$9,"Đã bao gồm 100 triệu đặt cọc",IF(B36='1_PHIEU_TU_VAN'!$K$10,"Mốc nhận nhà dự kiến","")))</f>
        <v/>
      </c>
    </row>
    <row r="37" spans="1:8">
      <c r="A37" s="71" t="str">
        <f>IF(B37="","","Đợt "&amp;COUNT($B$10:B37))</f>
        <v>Đợt 28</v>
      </c>
      <c r="B37" s="74">
        <f>IF(N($G36)&gt;=95%,"",IF(COUNTIF($B$10:$B36,'1_PHIEU_TU_VAN'!$K$10)&gt;0,EDATE('1_PHIEU_TU_VAN'!$K$10,COUNTIF($B$10:$B36,"&gt;"&amp;'1_PHIEU_TU_VAN'!$K$10)+1),MIN(EDATE('1_PHIEU_TU_VAN'!$K$9,27),'1_PHIEU_TU_VAN'!$K$10)))</f>
        <v>47117</v>
      </c>
      <c r="C37" s="71" t="str">
        <f>IF(B37="","",IF(B37='1_PHIEU_TU_VAN'!$K$9,"Ký HĐMB",IF(B37='1_PHIEU_TU_VAN'!$K$10,"Nhận nhà dự kiến",IF(B37&lt;'1_PHIEU_TU_VAN'!$K$10,"Sau 27 tháng","Sau nhận nhà "&amp;TEXT(COUNTIF($B$10:B37,"&gt;"&amp;'1_PHIEU_TU_VAN'!$K$10),"00")&amp;" tháng"))))</f>
        <v>Sau nhận nhà 18 tháng</v>
      </c>
      <c r="D37" s="72">
        <f>IF(B37="","",IF(B37='1_PHIEU_TU_VAN'!$K$10,MAX(0,'8_THAM_SO'!$C$4-N($G36)),IF(B37&lt;'1_PHIEU_TU_VAN'!$K$10,0.5%,IF(N($G36)&gt;=95%,0,MIN(IF(COUNTIF($B$10:B37,"&gt;"&amp;'1_PHIEU_TU_VAN'!$K$10)&lt;=12,1.5%,2%),95%-N($G36))))))</f>
        <v>0.02</v>
      </c>
      <c r="E37" s="75">
        <f t="shared" si="0"/>
        <v>189926000</v>
      </c>
      <c r="F37" s="75">
        <f t="shared" si="3"/>
        <v>5222965000.0000029</v>
      </c>
      <c r="G37" s="72">
        <f t="shared" si="4"/>
        <v>0.55000000000000027</v>
      </c>
      <c r="H37" s="73" t="str">
        <f>IF(B37="","",IF(B37='1_PHIEU_TU_VAN'!$K$9,"Đã bao gồm 100 triệu đặt cọc",IF(B37='1_PHIEU_TU_VAN'!$K$10,"Mốc nhận nhà dự kiến","")))</f>
        <v/>
      </c>
    </row>
    <row r="38" spans="1:8">
      <c r="A38" s="71" t="str">
        <f>IF(B38="","","Đợt "&amp;COUNT($B$10:B38))</f>
        <v>Đợt 29</v>
      </c>
      <c r="B38" s="74">
        <f>IF(N($G37)&gt;=95%,"",IF(COUNTIF($B$10:$B37,'1_PHIEU_TU_VAN'!$K$10)&gt;0,EDATE('1_PHIEU_TU_VAN'!$K$10,COUNTIF($B$10:$B37,"&gt;"&amp;'1_PHIEU_TU_VAN'!$K$10)+1),MIN(EDATE('1_PHIEU_TU_VAN'!$K$9,28),'1_PHIEU_TU_VAN'!$K$10)))</f>
        <v>47148</v>
      </c>
      <c r="C38" s="71" t="str">
        <f>IF(B38="","",IF(B38='1_PHIEU_TU_VAN'!$K$9,"Ký HĐMB",IF(B38='1_PHIEU_TU_VAN'!$K$10,"Nhận nhà dự kiến",IF(B38&lt;'1_PHIEU_TU_VAN'!$K$10,"Sau 28 tháng","Sau nhận nhà "&amp;TEXT(COUNTIF($B$10:B38,"&gt;"&amp;'1_PHIEU_TU_VAN'!$K$10),"00")&amp;" tháng"))))</f>
        <v>Sau nhận nhà 19 tháng</v>
      </c>
      <c r="D38" s="72">
        <f>IF(B38="","",IF(B38='1_PHIEU_TU_VAN'!$K$10,MAX(0,'8_THAM_SO'!$C$4-N($G37)),IF(B38&lt;'1_PHIEU_TU_VAN'!$K$10,0.5%,IF(N($G37)&gt;=95%,0,MIN(IF(COUNTIF($B$10:B38,"&gt;"&amp;'1_PHIEU_TU_VAN'!$K$10)&lt;=12,1.5%,2%),95%-N($G37))))))</f>
        <v>0.02</v>
      </c>
      <c r="E38" s="75">
        <f t="shared" si="0"/>
        <v>189926000</v>
      </c>
      <c r="F38" s="75">
        <f t="shared" si="3"/>
        <v>5412891000.0000029</v>
      </c>
      <c r="G38" s="72">
        <f t="shared" si="4"/>
        <v>0.57000000000000028</v>
      </c>
      <c r="H38" s="73" t="str">
        <f>IF(B38="","",IF(B38='1_PHIEU_TU_VAN'!$K$9,"Đã bao gồm 100 triệu đặt cọc",IF(B38='1_PHIEU_TU_VAN'!$K$10,"Mốc nhận nhà dự kiến","")))</f>
        <v/>
      </c>
    </row>
    <row r="39" spans="1:8">
      <c r="A39" s="71" t="str">
        <f>IF(B39="","","Đợt "&amp;COUNT($B$10:B39))</f>
        <v>Đợt 30</v>
      </c>
      <c r="B39" s="74">
        <f>IF(N($G38)&gt;=95%,"",IF(COUNTIF($B$10:$B38,'1_PHIEU_TU_VAN'!$K$10)&gt;0,EDATE('1_PHIEU_TU_VAN'!$K$10,COUNTIF($B$10:$B38,"&gt;"&amp;'1_PHIEU_TU_VAN'!$K$10)+1),MIN(EDATE('1_PHIEU_TU_VAN'!$K$9,29),'1_PHIEU_TU_VAN'!$K$10)))</f>
        <v>47177</v>
      </c>
      <c r="C39" s="71" t="str">
        <f>IF(B39="","",IF(B39='1_PHIEU_TU_VAN'!$K$9,"Ký HĐMB",IF(B39='1_PHIEU_TU_VAN'!$K$10,"Nhận nhà dự kiến",IF(B39&lt;'1_PHIEU_TU_VAN'!$K$10,"Sau 29 tháng","Sau nhận nhà "&amp;TEXT(COUNTIF($B$10:B39,"&gt;"&amp;'1_PHIEU_TU_VAN'!$K$10),"00")&amp;" tháng"))))</f>
        <v>Sau nhận nhà 20 tháng</v>
      </c>
      <c r="D39" s="72">
        <f>IF(B39="","",IF(B39='1_PHIEU_TU_VAN'!$K$10,MAX(0,'8_THAM_SO'!$C$4-N($G38)),IF(B39&lt;'1_PHIEU_TU_VAN'!$K$10,0.5%,IF(N($G38)&gt;=95%,0,MIN(IF(COUNTIF($B$10:B39,"&gt;"&amp;'1_PHIEU_TU_VAN'!$K$10)&lt;=12,1.5%,2%),95%-N($G38))))))</f>
        <v>0.02</v>
      </c>
      <c r="E39" s="75">
        <f t="shared" si="0"/>
        <v>189926000</v>
      </c>
      <c r="F39" s="75">
        <f t="shared" si="3"/>
        <v>5602817000.0000029</v>
      </c>
      <c r="G39" s="72">
        <f t="shared" si="4"/>
        <v>0.5900000000000003</v>
      </c>
      <c r="H39" s="73" t="str">
        <f>IF(B39="","",IF(B39='1_PHIEU_TU_VAN'!$K$9,"Đã bao gồm 100 triệu đặt cọc",IF(B39='1_PHIEU_TU_VAN'!$K$10,"Mốc nhận nhà dự kiến","")))</f>
        <v/>
      </c>
    </row>
    <row r="40" spans="1:8">
      <c r="A40" s="71" t="str">
        <f>IF(B40="","","Đợt "&amp;COUNT($B$10:B40))</f>
        <v>Đợt 31</v>
      </c>
      <c r="B40" s="74">
        <f>IF(N($G39)&gt;=95%,"",IF(COUNTIF($B$10:$B39,'1_PHIEU_TU_VAN'!$K$10)&gt;0,EDATE('1_PHIEU_TU_VAN'!$K$10,COUNTIF($B$10:$B39,"&gt;"&amp;'1_PHIEU_TU_VAN'!$K$10)+1),MIN(EDATE('1_PHIEU_TU_VAN'!$K$9,30),'1_PHIEU_TU_VAN'!$K$10)))</f>
        <v>47207</v>
      </c>
      <c r="C40" s="71" t="str">
        <f>IF(B40="","",IF(B40='1_PHIEU_TU_VAN'!$K$9,"Ký HĐMB",IF(B40='1_PHIEU_TU_VAN'!$K$10,"Nhận nhà dự kiến",IF(B40&lt;'1_PHIEU_TU_VAN'!$K$10,"Sau 30 tháng","Sau nhận nhà "&amp;TEXT(COUNTIF($B$10:B40,"&gt;"&amp;'1_PHIEU_TU_VAN'!$K$10),"00")&amp;" tháng"))))</f>
        <v>Sau nhận nhà 21 tháng</v>
      </c>
      <c r="D40" s="72">
        <f>IF(B40="","",IF(B40='1_PHIEU_TU_VAN'!$K$10,MAX(0,'8_THAM_SO'!$C$4-N($G39)),IF(B40&lt;'1_PHIEU_TU_VAN'!$K$10,0.5%,IF(N($G39)&gt;=95%,0,MIN(IF(COUNTIF($B$10:B40,"&gt;"&amp;'1_PHIEU_TU_VAN'!$K$10)&lt;=12,1.5%,2%),95%-N($G39))))))</f>
        <v>0.02</v>
      </c>
      <c r="E40" s="75">
        <f t="shared" si="0"/>
        <v>189926000</v>
      </c>
      <c r="F40" s="75">
        <f t="shared" si="3"/>
        <v>5792743000.0000029</v>
      </c>
      <c r="G40" s="72">
        <f t="shared" si="4"/>
        <v>0.61000000000000032</v>
      </c>
      <c r="H40" s="73" t="str">
        <f>IF(B40="","",IF(B40='1_PHIEU_TU_VAN'!$K$9,"Đã bao gồm 100 triệu đặt cọc",IF(B40='1_PHIEU_TU_VAN'!$K$10,"Mốc nhận nhà dự kiến","")))</f>
        <v/>
      </c>
    </row>
    <row r="41" spans="1:8">
      <c r="A41" s="71" t="str">
        <f>IF(B41="","","Đợt "&amp;COUNT($B$10:B41))</f>
        <v>Đợt 32</v>
      </c>
      <c r="B41" s="74">
        <f>IF(N($G40)&gt;=95%,"",IF(COUNTIF($B$10:$B40,'1_PHIEU_TU_VAN'!$K$10)&gt;0,EDATE('1_PHIEU_TU_VAN'!$K$10,COUNTIF($B$10:$B40,"&gt;"&amp;'1_PHIEU_TU_VAN'!$K$10)+1),MIN(EDATE('1_PHIEU_TU_VAN'!$K$9,31),'1_PHIEU_TU_VAN'!$K$10)))</f>
        <v>47238</v>
      </c>
      <c r="C41" s="71" t="str">
        <f>IF(B41="","",IF(B41='1_PHIEU_TU_VAN'!$K$9,"Ký HĐMB",IF(B41='1_PHIEU_TU_VAN'!$K$10,"Nhận nhà dự kiến",IF(B41&lt;'1_PHIEU_TU_VAN'!$K$10,"Sau 31 tháng","Sau nhận nhà "&amp;TEXT(COUNTIF($B$10:B41,"&gt;"&amp;'1_PHIEU_TU_VAN'!$K$10),"00")&amp;" tháng"))))</f>
        <v>Sau nhận nhà 22 tháng</v>
      </c>
      <c r="D41" s="72">
        <f>IF(B41="","",IF(B41='1_PHIEU_TU_VAN'!$K$10,MAX(0,'8_THAM_SO'!$C$4-N($G40)),IF(B41&lt;'1_PHIEU_TU_VAN'!$K$10,0.5%,IF(N($G40)&gt;=95%,0,MIN(IF(COUNTIF($B$10:B41,"&gt;"&amp;'1_PHIEU_TU_VAN'!$K$10)&lt;=12,1.5%,2%),95%-N($G40))))))</f>
        <v>0.02</v>
      </c>
      <c r="E41" s="75">
        <f t="shared" si="0"/>
        <v>189926000</v>
      </c>
      <c r="F41" s="75">
        <f t="shared" si="3"/>
        <v>5982669000.0000029</v>
      </c>
      <c r="G41" s="72">
        <f t="shared" si="4"/>
        <v>0.63000000000000034</v>
      </c>
      <c r="H41" s="73" t="str">
        <f>IF(B41="","",IF(B41='1_PHIEU_TU_VAN'!$K$9,"Đã bao gồm 100 triệu đặt cọc",IF(B41='1_PHIEU_TU_VAN'!$K$10,"Mốc nhận nhà dự kiến","")))</f>
        <v/>
      </c>
    </row>
    <row r="42" spans="1:8">
      <c r="A42" s="71" t="str">
        <f>IF(B42="","","Đợt "&amp;COUNT($B$10:B42))</f>
        <v>Đợt 33</v>
      </c>
      <c r="B42" s="74">
        <f>IF(N($G41)&gt;=95%,"",IF(COUNTIF($B$10:$B41,'1_PHIEU_TU_VAN'!$K$10)&gt;0,EDATE('1_PHIEU_TU_VAN'!$K$10,COUNTIF($B$10:$B41,"&gt;"&amp;'1_PHIEU_TU_VAN'!$K$10)+1),MIN(EDATE('1_PHIEU_TU_VAN'!$K$9,32),'1_PHIEU_TU_VAN'!$K$10)))</f>
        <v>47268</v>
      </c>
      <c r="C42" s="71" t="str">
        <f>IF(B42="","",IF(B42='1_PHIEU_TU_VAN'!$K$9,"Ký HĐMB",IF(B42='1_PHIEU_TU_VAN'!$K$10,"Nhận nhà dự kiến",IF(B42&lt;'1_PHIEU_TU_VAN'!$K$10,"Sau 32 tháng","Sau nhận nhà "&amp;TEXT(COUNTIF($B$10:B42,"&gt;"&amp;'1_PHIEU_TU_VAN'!$K$10),"00")&amp;" tháng"))))</f>
        <v>Sau nhận nhà 23 tháng</v>
      </c>
      <c r="D42" s="72">
        <f>IF(B42="","",IF(B42='1_PHIEU_TU_VAN'!$K$10,MAX(0,'8_THAM_SO'!$C$4-N($G41)),IF(B42&lt;'1_PHIEU_TU_VAN'!$K$10,0.5%,IF(N($G41)&gt;=95%,0,MIN(IF(COUNTIF($B$10:B42,"&gt;"&amp;'1_PHIEU_TU_VAN'!$K$10)&lt;=12,1.5%,2%),95%-N($G41))))))</f>
        <v>0.02</v>
      </c>
      <c r="E42" s="75">
        <f t="shared" ref="E42:E56" si="5">IF(D42="","",$G$5*D42)</f>
        <v>189926000</v>
      </c>
      <c r="F42" s="75">
        <f t="shared" si="3"/>
        <v>6172595000.0000038</v>
      </c>
      <c r="G42" s="72">
        <f t="shared" si="4"/>
        <v>0.65000000000000036</v>
      </c>
      <c r="H42" s="73" t="str">
        <f>IF(B42="","",IF(B42='1_PHIEU_TU_VAN'!$K$9,"Đã bao gồm 100 triệu đặt cọc",IF(B42='1_PHIEU_TU_VAN'!$K$10,"Mốc nhận nhà dự kiến","")))</f>
        <v/>
      </c>
    </row>
    <row r="43" spans="1:8">
      <c r="A43" s="71" t="str">
        <f>IF(B43="","","Đợt "&amp;COUNT($B$10:B43))</f>
        <v>Đợt 34</v>
      </c>
      <c r="B43" s="74">
        <f>IF(N($G42)&gt;=95%,"",IF(COUNTIF($B$10:$B42,'1_PHIEU_TU_VAN'!$K$10)&gt;0,EDATE('1_PHIEU_TU_VAN'!$K$10,COUNTIF($B$10:$B42,"&gt;"&amp;'1_PHIEU_TU_VAN'!$K$10)+1),MIN(EDATE('1_PHIEU_TU_VAN'!$K$9,33),'1_PHIEU_TU_VAN'!$K$10)))</f>
        <v>47299</v>
      </c>
      <c r="C43" s="71" t="str">
        <f>IF(B43="","",IF(B43='1_PHIEU_TU_VAN'!$K$9,"Ký HĐMB",IF(B43='1_PHIEU_TU_VAN'!$K$10,"Nhận nhà dự kiến",IF(B43&lt;'1_PHIEU_TU_VAN'!$K$10,"Sau 33 tháng","Sau nhận nhà "&amp;TEXT(COUNTIF($B$10:B43,"&gt;"&amp;'1_PHIEU_TU_VAN'!$K$10),"00")&amp;" tháng"))))</f>
        <v>Sau nhận nhà 24 tháng</v>
      </c>
      <c r="D43" s="72">
        <f>IF(B43="","",IF(B43='1_PHIEU_TU_VAN'!$K$10,MAX(0,'8_THAM_SO'!$C$4-N($G42)),IF(B43&lt;'1_PHIEU_TU_VAN'!$K$10,0.5%,IF(N($G42)&gt;=95%,0,MIN(IF(COUNTIF($B$10:B43,"&gt;"&amp;'1_PHIEU_TU_VAN'!$K$10)&lt;=12,1.5%,2%),95%-N($G42))))))</f>
        <v>0.02</v>
      </c>
      <c r="E43" s="75">
        <f t="shared" si="5"/>
        <v>189926000</v>
      </c>
      <c r="F43" s="75">
        <f t="shared" si="3"/>
        <v>6362521000.0000038</v>
      </c>
      <c r="G43" s="72">
        <f t="shared" si="4"/>
        <v>0.67000000000000037</v>
      </c>
      <c r="H43" s="73" t="str">
        <f>IF(B43="","",IF(B43='1_PHIEU_TU_VAN'!$K$9,"Đã bao gồm 100 triệu đặt cọc",IF(B43='1_PHIEU_TU_VAN'!$K$10,"Mốc nhận nhà dự kiến","")))</f>
        <v/>
      </c>
    </row>
    <row r="44" spans="1:8">
      <c r="A44" s="71" t="str">
        <f>IF(B44="","","Đợt "&amp;COUNT($B$10:B44))</f>
        <v>Đợt 35</v>
      </c>
      <c r="B44" s="74">
        <f>IF(N($G43)&gt;=95%,"",IF(COUNTIF($B$10:$B43,'1_PHIEU_TU_VAN'!$K$10)&gt;0,EDATE('1_PHIEU_TU_VAN'!$K$10,COUNTIF($B$10:$B43,"&gt;"&amp;'1_PHIEU_TU_VAN'!$K$10)+1),MIN(EDATE('1_PHIEU_TU_VAN'!$K$9,34),'1_PHIEU_TU_VAN'!$K$10)))</f>
        <v>47329</v>
      </c>
      <c r="C44" s="71" t="str">
        <f>IF(B44="","",IF(B44='1_PHIEU_TU_VAN'!$K$9,"Ký HĐMB",IF(B44='1_PHIEU_TU_VAN'!$K$10,"Nhận nhà dự kiến",IF(B44&lt;'1_PHIEU_TU_VAN'!$K$10,"Sau 34 tháng","Sau nhận nhà "&amp;TEXT(COUNTIF($B$10:B44,"&gt;"&amp;'1_PHIEU_TU_VAN'!$K$10),"00")&amp;" tháng"))))</f>
        <v>Sau nhận nhà 25 tháng</v>
      </c>
      <c r="D44" s="72">
        <f>IF(B44="","",IF(B44='1_PHIEU_TU_VAN'!$K$10,MAX(0,'8_THAM_SO'!$C$4-N($G43)),IF(B44&lt;'1_PHIEU_TU_VAN'!$K$10,0.5%,IF(N($G43)&gt;=95%,0,MIN(IF(COUNTIF($B$10:B44,"&gt;"&amp;'1_PHIEU_TU_VAN'!$K$10)&lt;=12,1.5%,2%),95%-N($G43))))))</f>
        <v>0.02</v>
      </c>
      <c r="E44" s="75">
        <f t="shared" si="5"/>
        <v>189926000</v>
      </c>
      <c r="F44" s="75">
        <f t="shared" si="3"/>
        <v>6552447000.0000038</v>
      </c>
      <c r="G44" s="72">
        <f t="shared" si="4"/>
        <v>0.69000000000000039</v>
      </c>
      <c r="H44" s="73" t="str">
        <f>IF(B44="","",IF(B44='1_PHIEU_TU_VAN'!$K$9,"Đã bao gồm 100 triệu đặt cọc",IF(B44='1_PHIEU_TU_VAN'!$K$10,"Mốc nhận nhà dự kiến","")))</f>
        <v/>
      </c>
    </row>
    <row r="45" spans="1:8">
      <c r="A45" s="71" t="str">
        <f>IF(B45="","","Đợt "&amp;COUNT($B$10:B45))</f>
        <v>Đợt 36</v>
      </c>
      <c r="B45" s="74">
        <f>IF(N($G44)&gt;=95%,"",IF(COUNTIF($B$10:$B44,'1_PHIEU_TU_VAN'!$K$10)&gt;0,EDATE('1_PHIEU_TU_VAN'!$K$10,COUNTIF($B$10:$B44,"&gt;"&amp;'1_PHIEU_TU_VAN'!$K$10)+1),MIN(EDATE('1_PHIEU_TU_VAN'!$K$9,35),'1_PHIEU_TU_VAN'!$K$10)))</f>
        <v>47360</v>
      </c>
      <c r="C45" s="71" t="str">
        <f>IF(B45="","",IF(B45='1_PHIEU_TU_VAN'!$K$9,"Ký HĐMB",IF(B45='1_PHIEU_TU_VAN'!$K$10,"Nhận nhà dự kiến",IF(B45&lt;'1_PHIEU_TU_VAN'!$K$10,"Sau 35 tháng","Sau nhận nhà "&amp;TEXT(COUNTIF($B$10:B45,"&gt;"&amp;'1_PHIEU_TU_VAN'!$K$10),"00")&amp;" tháng"))))</f>
        <v>Sau nhận nhà 26 tháng</v>
      </c>
      <c r="D45" s="72">
        <f>IF(B45="","",IF(B45='1_PHIEU_TU_VAN'!$K$10,MAX(0,'8_THAM_SO'!$C$4-N($G44)),IF(B45&lt;'1_PHIEU_TU_VAN'!$K$10,0.5%,IF(N($G44)&gt;=95%,0,MIN(IF(COUNTIF($B$10:B45,"&gt;"&amp;'1_PHIEU_TU_VAN'!$K$10)&lt;=12,1.5%,2%),95%-N($G44))))))</f>
        <v>0.02</v>
      </c>
      <c r="E45" s="75">
        <f t="shared" si="5"/>
        <v>189926000</v>
      </c>
      <c r="F45" s="75">
        <f t="shared" si="3"/>
        <v>6742373000.0000038</v>
      </c>
      <c r="G45" s="72">
        <f t="shared" si="4"/>
        <v>0.71000000000000041</v>
      </c>
      <c r="H45" s="73" t="str">
        <f>IF(B45="","",IF(B45='1_PHIEU_TU_VAN'!$K$9,"Đã bao gồm 100 triệu đặt cọc",IF(B45='1_PHIEU_TU_VAN'!$K$10,"Mốc nhận nhà dự kiến","")))</f>
        <v/>
      </c>
    </row>
    <row r="46" spans="1:8">
      <c r="A46" s="71" t="str">
        <f>IF(B46="","","Đợt "&amp;COUNT($B$10:B46))</f>
        <v>Đợt 37</v>
      </c>
      <c r="B46" s="74">
        <f>IF(N($G45)&gt;=95%,"",IF(COUNTIF($B$10:$B45,'1_PHIEU_TU_VAN'!$K$10)&gt;0,EDATE('1_PHIEU_TU_VAN'!$K$10,COUNTIF($B$10:$B45,"&gt;"&amp;'1_PHIEU_TU_VAN'!$K$10)+1),MIN(EDATE('1_PHIEU_TU_VAN'!$K$9,36),'1_PHIEU_TU_VAN'!$K$10)))</f>
        <v>47391</v>
      </c>
      <c r="C46" s="71" t="str">
        <f>IF(B46="","",IF(B46='1_PHIEU_TU_VAN'!$K$9,"Ký HĐMB",IF(B46='1_PHIEU_TU_VAN'!$K$10,"Nhận nhà dự kiến",IF(B46&lt;'1_PHIEU_TU_VAN'!$K$10,"Sau 36 tháng","Sau nhận nhà "&amp;TEXT(COUNTIF($B$10:B46,"&gt;"&amp;'1_PHIEU_TU_VAN'!$K$10),"00")&amp;" tháng"))))</f>
        <v>Sau nhận nhà 27 tháng</v>
      </c>
      <c r="D46" s="72">
        <f>IF(B46="","",IF(B46='1_PHIEU_TU_VAN'!$K$10,MAX(0,'8_THAM_SO'!$C$4-N($G45)),IF(B46&lt;'1_PHIEU_TU_VAN'!$K$10,0.5%,IF(N($G45)&gt;=95%,0,MIN(IF(COUNTIF($B$10:B46,"&gt;"&amp;'1_PHIEU_TU_VAN'!$K$10)&lt;=12,1.5%,2%),95%-N($G45))))))</f>
        <v>0.02</v>
      </c>
      <c r="E46" s="75">
        <f t="shared" si="5"/>
        <v>189926000</v>
      </c>
      <c r="F46" s="75">
        <f t="shared" si="3"/>
        <v>6932299000.0000038</v>
      </c>
      <c r="G46" s="72">
        <f t="shared" si="4"/>
        <v>0.73000000000000043</v>
      </c>
      <c r="H46" s="73" t="str">
        <f>IF(B46="","",IF(B46='1_PHIEU_TU_VAN'!$K$9,"Đã bao gồm 100 triệu đặt cọc",IF(B46='1_PHIEU_TU_VAN'!$K$10,"Mốc nhận nhà dự kiến","")))</f>
        <v/>
      </c>
    </row>
    <row r="47" spans="1:8">
      <c r="A47" s="71" t="str">
        <f>IF(B47="","","Đợt "&amp;COUNT($B$10:B47))</f>
        <v>Đợt 38</v>
      </c>
      <c r="B47" s="74">
        <f>IF(N($G46)&gt;=95%,"",IF(COUNTIF($B$10:$B46,'1_PHIEU_TU_VAN'!$K$10)&gt;0,EDATE('1_PHIEU_TU_VAN'!$K$10,COUNTIF($B$10:$B46,"&gt;"&amp;'1_PHIEU_TU_VAN'!$K$10)+1),MIN(EDATE('1_PHIEU_TU_VAN'!$K$9,37),'1_PHIEU_TU_VAN'!$K$10)))</f>
        <v>47421</v>
      </c>
      <c r="C47" s="71" t="str">
        <f>IF(B47="","",IF(B47='1_PHIEU_TU_VAN'!$K$9,"Ký HĐMB",IF(B47='1_PHIEU_TU_VAN'!$K$10,"Nhận nhà dự kiến",IF(B47&lt;'1_PHIEU_TU_VAN'!$K$10,"Sau 37 tháng","Sau nhận nhà "&amp;TEXT(COUNTIF($B$10:B47,"&gt;"&amp;'1_PHIEU_TU_VAN'!$K$10),"00")&amp;" tháng"))))</f>
        <v>Sau nhận nhà 28 tháng</v>
      </c>
      <c r="D47" s="72">
        <f>IF(B47="","",IF(B47='1_PHIEU_TU_VAN'!$K$10,MAX(0,'8_THAM_SO'!$C$4-N($G46)),IF(B47&lt;'1_PHIEU_TU_VAN'!$K$10,0.5%,IF(N($G46)&gt;=95%,0,MIN(IF(COUNTIF($B$10:B47,"&gt;"&amp;'1_PHIEU_TU_VAN'!$K$10)&lt;=12,1.5%,2%),95%-N($G46))))))</f>
        <v>0.02</v>
      </c>
      <c r="E47" s="75">
        <f t="shared" si="5"/>
        <v>189926000</v>
      </c>
      <c r="F47" s="75">
        <f t="shared" si="3"/>
        <v>7122225000.0000038</v>
      </c>
      <c r="G47" s="72">
        <f t="shared" si="4"/>
        <v>0.75000000000000044</v>
      </c>
      <c r="H47" s="73" t="str">
        <f>IF(B47="","",IF(B47='1_PHIEU_TU_VAN'!$K$9,"Đã bao gồm 100 triệu đặt cọc",IF(B47='1_PHIEU_TU_VAN'!$K$10,"Mốc nhận nhà dự kiến","")))</f>
        <v/>
      </c>
    </row>
    <row r="48" spans="1:8">
      <c r="A48" s="71" t="str">
        <f>IF(B48="","","Đợt "&amp;COUNT($B$10:B48))</f>
        <v>Đợt 39</v>
      </c>
      <c r="B48" s="74">
        <f>IF(N($G47)&gt;=95%,"",IF(COUNTIF($B$10:$B47,'1_PHIEU_TU_VAN'!$K$10)&gt;0,EDATE('1_PHIEU_TU_VAN'!$K$10,COUNTIF($B$10:$B47,"&gt;"&amp;'1_PHIEU_TU_VAN'!$K$10)+1),MIN(EDATE('1_PHIEU_TU_VAN'!$K$9,38),'1_PHIEU_TU_VAN'!$K$10)))</f>
        <v>47452</v>
      </c>
      <c r="C48" s="71" t="str">
        <f>IF(B48="","",IF(B48='1_PHIEU_TU_VAN'!$K$9,"Ký HĐMB",IF(B48='1_PHIEU_TU_VAN'!$K$10,"Nhận nhà dự kiến",IF(B48&lt;'1_PHIEU_TU_VAN'!$K$10,"Sau 38 tháng","Sau nhận nhà "&amp;TEXT(COUNTIF($B$10:B48,"&gt;"&amp;'1_PHIEU_TU_VAN'!$K$10),"00")&amp;" tháng"))))</f>
        <v>Sau nhận nhà 29 tháng</v>
      </c>
      <c r="D48" s="72">
        <f>IF(B48="","",IF(B48='1_PHIEU_TU_VAN'!$K$10,MAX(0,'8_THAM_SO'!$C$4-N($G47)),IF(B48&lt;'1_PHIEU_TU_VAN'!$K$10,0.5%,IF(N($G47)&gt;=95%,0,MIN(IF(COUNTIF($B$10:B48,"&gt;"&amp;'1_PHIEU_TU_VAN'!$K$10)&lt;=12,1.5%,2%),95%-N($G47))))))</f>
        <v>0.02</v>
      </c>
      <c r="E48" s="75">
        <f t="shared" si="5"/>
        <v>189926000</v>
      </c>
      <c r="F48" s="75">
        <f t="shared" si="3"/>
        <v>7312151000.0000048</v>
      </c>
      <c r="G48" s="72">
        <f t="shared" si="4"/>
        <v>0.77000000000000046</v>
      </c>
      <c r="H48" s="73" t="str">
        <f>IF(B48="","",IF(B48='1_PHIEU_TU_VAN'!$K$9,"Đã bao gồm 100 triệu đặt cọc",IF(B48='1_PHIEU_TU_VAN'!$K$10,"Mốc nhận nhà dự kiến","")))</f>
        <v/>
      </c>
    </row>
    <row r="49" spans="1:8">
      <c r="A49" s="71" t="str">
        <f>IF(B49="","","Đợt "&amp;COUNT($B$10:B49))</f>
        <v>Đợt 40</v>
      </c>
      <c r="B49" s="74">
        <f>IF(N($G48)&gt;=95%,"",IF(COUNTIF($B$10:$B48,'1_PHIEU_TU_VAN'!$K$10)&gt;0,EDATE('1_PHIEU_TU_VAN'!$K$10,COUNTIF($B$10:$B48,"&gt;"&amp;'1_PHIEU_TU_VAN'!$K$10)+1),MIN(EDATE('1_PHIEU_TU_VAN'!$K$9,39),'1_PHIEU_TU_VAN'!$K$10)))</f>
        <v>47482</v>
      </c>
      <c r="C49" s="71" t="str">
        <f>IF(B49="","",IF(B49='1_PHIEU_TU_VAN'!$K$9,"Ký HĐMB",IF(B49='1_PHIEU_TU_VAN'!$K$10,"Nhận nhà dự kiến",IF(B49&lt;'1_PHIEU_TU_VAN'!$K$10,"Sau 39 tháng","Sau nhận nhà "&amp;TEXT(COUNTIF($B$10:B49,"&gt;"&amp;'1_PHIEU_TU_VAN'!$K$10),"00")&amp;" tháng"))))</f>
        <v>Sau nhận nhà 30 tháng</v>
      </c>
      <c r="D49" s="72">
        <f>IF(B49="","",IF(B49='1_PHIEU_TU_VAN'!$K$10,MAX(0,'8_THAM_SO'!$C$4-N($G48)),IF(B49&lt;'1_PHIEU_TU_VAN'!$K$10,0.5%,IF(N($G48)&gt;=95%,0,MIN(IF(COUNTIF($B$10:B49,"&gt;"&amp;'1_PHIEU_TU_VAN'!$K$10)&lt;=12,1.5%,2%),95%-N($G48))))))</f>
        <v>0.02</v>
      </c>
      <c r="E49" s="75">
        <f t="shared" si="5"/>
        <v>189926000</v>
      </c>
      <c r="F49" s="75">
        <f t="shared" si="3"/>
        <v>7502077000.0000048</v>
      </c>
      <c r="G49" s="72">
        <f t="shared" si="4"/>
        <v>0.79000000000000048</v>
      </c>
      <c r="H49" s="73" t="str">
        <f>IF(B49="","",IF(B49='1_PHIEU_TU_VAN'!$K$9,"Đã bao gồm 100 triệu đặt cọc",IF(B49='1_PHIEU_TU_VAN'!$K$10,"Mốc nhận nhà dự kiến","")))</f>
        <v/>
      </c>
    </row>
    <row r="50" spans="1:8">
      <c r="A50" s="71" t="str">
        <f>IF(B50="","","Đợt "&amp;COUNT($B$10:B50))</f>
        <v>Đợt 41</v>
      </c>
      <c r="B50" s="74">
        <f>IF(N($G49)&gt;=95%,"",IF(COUNTIF($B$10:$B49,'1_PHIEU_TU_VAN'!$K$10)&gt;0,EDATE('1_PHIEU_TU_VAN'!$K$10,COUNTIF($B$10:$B49,"&gt;"&amp;'1_PHIEU_TU_VAN'!$K$10)+1),MIN(EDATE('1_PHIEU_TU_VAN'!$K$9,40),'1_PHIEU_TU_VAN'!$K$10)))</f>
        <v>47513</v>
      </c>
      <c r="C50" s="71" t="str">
        <f>IF(B50="","",IF(B50='1_PHIEU_TU_VAN'!$K$9,"Ký HĐMB",IF(B50='1_PHIEU_TU_VAN'!$K$10,"Nhận nhà dự kiến",IF(B50&lt;'1_PHIEU_TU_VAN'!$K$10,"Sau 40 tháng","Sau nhận nhà "&amp;TEXT(COUNTIF($B$10:B50,"&gt;"&amp;'1_PHIEU_TU_VAN'!$K$10),"00")&amp;" tháng"))))</f>
        <v>Sau nhận nhà 31 tháng</v>
      </c>
      <c r="D50" s="72">
        <f>IF(B50="","",IF(B50='1_PHIEU_TU_VAN'!$K$10,MAX(0,'8_THAM_SO'!$C$4-N($G49)),IF(B50&lt;'1_PHIEU_TU_VAN'!$K$10,0.5%,IF(N($G49)&gt;=95%,0,MIN(IF(COUNTIF($B$10:B50,"&gt;"&amp;'1_PHIEU_TU_VAN'!$K$10)&lt;=12,1.5%,2%),95%-N($G49))))))</f>
        <v>0.02</v>
      </c>
      <c r="E50" s="75">
        <f t="shared" si="5"/>
        <v>189926000</v>
      </c>
      <c r="F50" s="75">
        <f t="shared" si="3"/>
        <v>7692003000.0000048</v>
      </c>
      <c r="G50" s="72">
        <f t="shared" si="4"/>
        <v>0.8100000000000005</v>
      </c>
      <c r="H50" s="73" t="str">
        <f>IF(B50="","",IF(B50='1_PHIEU_TU_VAN'!$K$9,"Đã bao gồm 100 triệu đặt cọc",IF(B50='1_PHIEU_TU_VAN'!$K$10,"Mốc nhận nhà dự kiến","")))</f>
        <v/>
      </c>
    </row>
    <row r="51" spans="1:8">
      <c r="A51" s="71" t="str">
        <f>IF(B51="","","Đợt "&amp;COUNT($B$10:B51))</f>
        <v>Đợt 42</v>
      </c>
      <c r="B51" s="74">
        <f>IF(N($G50)&gt;=95%,"",IF(COUNTIF($B$10:$B50,'1_PHIEU_TU_VAN'!$K$10)&gt;0,EDATE('1_PHIEU_TU_VAN'!$K$10,COUNTIF($B$10:$B50,"&gt;"&amp;'1_PHIEU_TU_VAN'!$K$10)+1),MIN(EDATE('1_PHIEU_TU_VAN'!$K$9,41),'1_PHIEU_TU_VAN'!$K$10)))</f>
        <v>47542</v>
      </c>
      <c r="C51" s="71" t="str">
        <f>IF(B51="","",IF(B51='1_PHIEU_TU_VAN'!$K$9,"Ký HĐMB",IF(B51='1_PHIEU_TU_VAN'!$K$10,"Nhận nhà dự kiến",IF(B51&lt;'1_PHIEU_TU_VAN'!$K$10,"Sau 41 tháng","Sau nhận nhà "&amp;TEXT(COUNTIF($B$10:B51,"&gt;"&amp;'1_PHIEU_TU_VAN'!$K$10),"00")&amp;" tháng"))))</f>
        <v>Sau nhận nhà 32 tháng</v>
      </c>
      <c r="D51" s="72">
        <f>IF(B51="","",IF(B51='1_PHIEU_TU_VAN'!$K$10,MAX(0,'8_THAM_SO'!$C$4-N($G50)),IF(B51&lt;'1_PHIEU_TU_VAN'!$K$10,0.5%,IF(N($G50)&gt;=95%,0,MIN(IF(COUNTIF($B$10:B51,"&gt;"&amp;'1_PHIEU_TU_VAN'!$K$10)&lt;=12,1.5%,2%),95%-N($G50))))))</f>
        <v>0.02</v>
      </c>
      <c r="E51" s="75">
        <f t="shared" si="5"/>
        <v>189926000</v>
      </c>
      <c r="F51" s="75">
        <f t="shared" si="3"/>
        <v>7881929000.0000048</v>
      </c>
      <c r="G51" s="72">
        <f t="shared" si="4"/>
        <v>0.83000000000000052</v>
      </c>
      <c r="H51" s="73" t="str">
        <f>IF(B51="","",IF(B51='1_PHIEU_TU_VAN'!$K$9,"Đã bao gồm 100 triệu đặt cọc",IF(B51='1_PHIEU_TU_VAN'!$K$10,"Mốc nhận nhà dự kiến","")))</f>
        <v/>
      </c>
    </row>
    <row r="52" spans="1:8">
      <c r="A52" s="71" t="str">
        <f>IF(B52="","","Đợt "&amp;COUNT($B$10:B52))</f>
        <v>Đợt 43</v>
      </c>
      <c r="B52" s="74">
        <f>IF(N($G51)&gt;=95%,"",IF(COUNTIF($B$10:$B51,'1_PHIEU_TU_VAN'!$K$10)&gt;0,EDATE('1_PHIEU_TU_VAN'!$K$10,COUNTIF($B$10:$B51,"&gt;"&amp;'1_PHIEU_TU_VAN'!$K$10)+1),MIN(EDATE('1_PHIEU_TU_VAN'!$K$9,42),'1_PHIEU_TU_VAN'!$K$10)))</f>
        <v>47572</v>
      </c>
      <c r="C52" s="71" t="str">
        <f>IF(B52="","",IF(B52='1_PHIEU_TU_VAN'!$K$9,"Ký HĐMB",IF(B52='1_PHIEU_TU_VAN'!$K$10,"Nhận nhà dự kiến",IF(B52&lt;'1_PHIEU_TU_VAN'!$K$10,"Sau 42 tháng","Sau nhận nhà "&amp;TEXT(COUNTIF($B$10:B52,"&gt;"&amp;'1_PHIEU_TU_VAN'!$K$10),"00")&amp;" tháng"))))</f>
        <v>Sau nhận nhà 33 tháng</v>
      </c>
      <c r="D52" s="72">
        <f>IF(B52="","",IF(B52='1_PHIEU_TU_VAN'!$K$10,MAX(0,'8_THAM_SO'!$C$4-N($G51)),IF(B52&lt;'1_PHIEU_TU_VAN'!$K$10,0.5%,IF(N($G51)&gt;=95%,0,MIN(IF(COUNTIF($B$10:B52,"&gt;"&amp;'1_PHIEU_TU_VAN'!$K$10)&lt;=12,1.5%,2%),95%-N($G51))))))</f>
        <v>0.02</v>
      </c>
      <c r="E52" s="75">
        <f t="shared" si="5"/>
        <v>189926000</v>
      </c>
      <c r="F52" s="75">
        <f t="shared" si="3"/>
        <v>8071855000.0000048</v>
      </c>
      <c r="G52" s="72">
        <f t="shared" si="4"/>
        <v>0.85000000000000053</v>
      </c>
      <c r="H52" s="73" t="str">
        <f>IF(B52="","",IF(B52='1_PHIEU_TU_VAN'!$K$9,"Đã bao gồm 100 triệu đặt cọc",IF(B52='1_PHIEU_TU_VAN'!$K$10,"Mốc nhận nhà dự kiến","")))</f>
        <v/>
      </c>
    </row>
    <row r="53" spans="1:8">
      <c r="A53" s="71" t="str">
        <f>IF(B53="","","Đợt "&amp;COUNT($B$10:B53))</f>
        <v>Đợt 44</v>
      </c>
      <c r="B53" s="74">
        <f>IF(N($G52)&gt;=95%,"",IF(COUNTIF($B$10:$B52,'1_PHIEU_TU_VAN'!$K$10)&gt;0,EDATE('1_PHIEU_TU_VAN'!$K$10,COUNTIF($B$10:$B52,"&gt;"&amp;'1_PHIEU_TU_VAN'!$K$10)+1),MIN(EDATE('1_PHIEU_TU_VAN'!$K$9,43),'1_PHIEU_TU_VAN'!$K$10)))</f>
        <v>47603</v>
      </c>
      <c r="C53" s="71" t="str">
        <f>IF(B53="","",IF(B53='1_PHIEU_TU_VAN'!$K$9,"Ký HĐMB",IF(B53='1_PHIEU_TU_VAN'!$K$10,"Nhận nhà dự kiến",IF(B53&lt;'1_PHIEU_TU_VAN'!$K$10,"Sau 43 tháng","Sau nhận nhà "&amp;TEXT(COUNTIF($B$10:B53,"&gt;"&amp;'1_PHIEU_TU_VAN'!$K$10),"00")&amp;" tháng"))))</f>
        <v>Sau nhận nhà 34 tháng</v>
      </c>
      <c r="D53" s="72">
        <f>IF(B53="","",IF(B53='1_PHIEU_TU_VAN'!$K$10,MAX(0,'8_THAM_SO'!$C$4-N($G52)),IF(B53&lt;'1_PHIEU_TU_VAN'!$K$10,0.5%,IF(N($G52)&gt;=95%,0,MIN(IF(COUNTIF($B$10:B53,"&gt;"&amp;'1_PHIEU_TU_VAN'!$K$10)&lt;=12,1.5%,2%),95%-N($G52))))))</f>
        <v>0.02</v>
      </c>
      <c r="E53" s="75">
        <f t="shared" si="5"/>
        <v>189926000</v>
      </c>
      <c r="F53" s="75">
        <f t="shared" si="3"/>
        <v>8261781000.0000048</v>
      </c>
      <c r="G53" s="72">
        <f t="shared" si="4"/>
        <v>0.87000000000000055</v>
      </c>
      <c r="H53" s="73" t="str">
        <f>IF(B53="","",IF(B53='1_PHIEU_TU_VAN'!$K$9,"Đã bao gồm 100 triệu đặt cọc",IF(B53='1_PHIEU_TU_VAN'!$K$10,"Mốc nhận nhà dự kiến","")))</f>
        <v/>
      </c>
    </row>
    <row r="54" spans="1:8">
      <c r="A54" s="71" t="str">
        <f>IF(B54="","","Đợt "&amp;COUNT($B$10:B54))</f>
        <v>Đợt 45</v>
      </c>
      <c r="B54" s="74">
        <f>IF(N($G53)&gt;=95%,"",IF(COUNTIF($B$10:$B53,'1_PHIEU_TU_VAN'!$K$10)&gt;0,EDATE('1_PHIEU_TU_VAN'!$K$10,COUNTIF($B$10:$B53,"&gt;"&amp;'1_PHIEU_TU_VAN'!$K$10)+1),MIN(EDATE('1_PHIEU_TU_VAN'!$K$9,44),'1_PHIEU_TU_VAN'!$K$10)))</f>
        <v>47633</v>
      </c>
      <c r="C54" s="71" t="str">
        <f>IF(B54="","",IF(B54='1_PHIEU_TU_VAN'!$K$9,"Ký HĐMB",IF(B54='1_PHIEU_TU_VAN'!$K$10,"Nhận nhà dự kiến",IF(B54&lt;'1_PHIEU_TU_VAN'!$K$10,"Sau 44 tháng","Sau nhận nhà "&amp;TEXT(COUNTIF($B$10:B54,"&gt;"&amp;'1_PHIEU_TU_VAN'!$K$10),"00")&amp;" tháng"))))</f>
        <v>Sau nhận nhà 35 tháng</v>
      </c>
      <c r="D54" s="72">
        <f>IF(B54="","",IF(B54='1_PHIEU_TU_VAN'!$K$10,MAX(0,'8_THAM_SO'!$C$4-N($G53)),IF(B54&lt;'1_PHIEU_TU_VAN'!$K$10,0.5%,IF(N($G53)&gt;=95%,0,MIN(IF(COUNTIF($B$10:B54,"&gt;"&amp;'1_PHIEU_TU_VAN'!$K$10)&lt;=12,1.5%,2%),95%-N($G53))))))</f>
        <v>0.02</v>
      </c>
      <c r="E54" s="75">
        <f t="shared" si="5"/>
        <v>189926000</v>
      </c>
      <c r="F54" s="75">
        <f t="shared" si="3"/>
        <v>8451707000.0000057</v>
      </c>
      <c r="G54" s="72">
        <f t="shared" si="4"/>
        <v>0.89000000000000057</v>
      </c>
      <c r="H54" s="73" t="str">
        <f>IF(B54="","",IF(B54='1_PHIEU_TU_VAN'!$K$9,"Đã bao gồm 100 triệu đặt cọc",IF(B54='1_PHIEU_TU_VAN'!$K$10,"Mốc nhận nhà dự kiến","")))</f>
        <v/>
      </c>
    </row>
    <row r="55" spans="1:8">
      <c r="A55" s="71" t="str">
        <f>IF(B55="","","Đợt "&amp;COUNT($B$10:B55))</f>
        <v>Đợt 46</v>
      </c>
      <c r="B55" s="74">
        <f>IF(N($G54)&gt;=95%,"",IF(COUNTIF($B$10:$B54,'1_PHIEU_TU_VAN'!$K$10)&gt;0,EDATE('1_PHIEU_TU_VAN'!$K$10,COUNTIF($B$10:$B54,"&gt;"&amp;'1_PHIEU_TU_VAN'!$K$10)+1),MIN(EDATE('1_PHIEU_TU_VAN'!$K$9,45),'1_PHIEU_TU_VAN'!$K$10)))</f>
        <v>47664</v>
      </c>
      <c r="C55" s="71" t="str">
        <f>IF(B55="","",IF(B55='1_PHIEU_TU_VAN'!$K$9,"Ký HĐMB",IF(B55='1_PHIEU_TU_VAN'!$K$10,"Nhận nhà dự kiến",IF(B55&lt;'1_PHIEU_TU_VAN'!$K$10,"Sau 45 tháng","Sau nhận nhà "&amp;TEXT(COUNTIF($B$10:B55,"&gt;"&amp;'1_PHIEU_TU_VAN'!$K$10),"00")&amp;" tháng"))))</f>
        <v>Sau nhận nhà 36 tháng</v>
      </c>
      <c r="D55" s="72">
        <f>IF(B55="","",IF(B55='1_PHIEU_TU_VAN'!$K$10,MAX(0,'8_THAM_SO'!$C$4-N($G54)),IF(B55&lt;'1_PHIEU_TU_VAN'!$K$10,0.5%,IF(N($G54)&gt;=95%,0,MIN(IF(COUNTIF($B$10:B55,"&gt;"&amp;'1_PHIEU_TU_VAN'!$K$10)&lt;=12,1.5%,2%),95%-N($G54))))))</f>
        <v>0.02</v>
      </c>
      <c r="E55" s="75">
        <f t="shared" si="5"/>
        <v>189926000</v>
      </c>
      <c r="F55" s="75">
        <f t="shared" si="3"/>
        <v>8641633000.0000057</v>
      </c>
      <c r="G55" s="72">
        <f t="shared" si="4"/>
        <v>0.91000000000000059</v>
      </c>
      <c r="H55" s="73" t="str">
        <f>IF(B55="","",IF(B55='1_PHIEU_TU_VAN'!$K$9,"Đã bao gồm 100 triệu đặt cọc",IF(B55='1_PHIEU_TU_VAN'!$K$10,"Mốc nhận nhà dự kiến","")))</f>
        <v/>
      </c>
    </row>
    <row r="56" spans="1:8">
      <c r="A56" s="71" t="str">
        <f>IF(B56="","","Đợt "&amp;COUNT($B$10:B56))</f>
        <v>Đợt 47</v>
      </c>
      <c r="B56" s="74">
        <f>IF(N($G55)&gt;=95%,"",IF(COUNTIF($B$10:$B55,'1_PHIEU_TU_VAN'!$K$10)&gt;0,EDATE('1_PHIEU_TU_VAN'!$K$10,COUNTIF($B$10:$B55,"&gt;"&amp;'1_PHIEU_TU_VAN'!$K$10)+1),MIN(EDATE('1_PHIEU_TU_VAN'!$K$9,46),'1_PHIEU_TU_VAN'!$K$10)))</f>
        <v>47694</v>
      </c>
      <c r="C56" s="71" t="str">
        <f>IF(B56="","",IF(B56='1_PHIEU_TU_VAN'!$K$9,"Ký HĐMB",IF(B56='1_PHIEU_TU_VAN'!$K$10,"Nhận nhà dự kiến",IF(B56&lt;'1_PHIEU_TU_VAN'!$K$10,"Sau 46 tháng","Sau nhận nhà "&amp;TEXT(COUNTIF($B$10:B56,"&gt;"&amp;'1_PHIEU_TU_VAN'!$K$10),"00")&amp;" tháng"))))</f>
        <v>Sau nhận nhà 37 tháng</v>
      </c>
      <c r="D56" s="72">
        <f>IF(B56="","",IF(B56='1_PHIEU_TU_VAN'!$K$10,MAX(0,'8_THAM_SO'!$C$4-N($G55)),IF(B56&lt;'1_PHIEU_TU_VAN'!$K$10,0.5%,IF(N($G55)&gt;=95%,0,MIN(IF(COUNTIF($B$10:B56,"&gt;"&amp;'1_PHIEU_TU_VAN'!$K$10)&lt;=12,1.5%,2%),95%-N($G55))))))</f>
        <v>0.02</v>
      </c>
      <c r="E56" s="75">
        <f t="shared" si="5"/>
        <v>189926000</v>
      </c>
      <c r="F56" s="75">
        <f t="shared" si="3"/>
        <v>8831559000.0000057</v>
      </c>
      <c r="G56" s="72">
        <f t="shared" si="4"/>
        <v>0.9300000000000006</v>
      </c>
      <c r="H56" s="73" t="str">
        <f>IF(B56="","",IF(B56='1_PHIEU_TU_VAN'!$K$9,"Đã bao gồm 100 triệu đặt cọc",IF(B56='1_PHIEU_TU_VAN'!$K$10,"Mốc nhận nhà dự kiến","")))</f>
        <v/>
      </c>
    </row>
    <row r="57" spans="1:8">
      <c r="A57" s="71" t="str">
        <f>IF(B57="","","Đợt "&amp;COUNT($B$10:B57))</f>
        <v>Đợt 48</v>
      </c>
      <c r="B57" s="74">
        <f>IF(N($G56)&gt;=95%,"",IF(COUNTIF($B$10:$B56,'1_PHIEU_TU_VAN'!$K$10)&gt;0,EDATE('1_PHIEU_TU_VAN'!$K$10,COUNTIF($B$10:$B56,"&gt;"&amp;'1_PHIEU_TU_VAN'!$K$10)+1),MIN(EDATE('1_PHIEU_TU_VAN'!$K$9,46),'1_PHIEU_TU_VAN'!$K$10)))</f>
        <v>47725</v>
      </c>
      <c r="C57" s="71" t="str">
        <f>IF(B57="","",IF(B57='1_PHIEU_TU_VAN'!$K$9,"Ký HĐMB",IF(B57='1_PHIEU_TU_VAN'!$K$10,"Nhận nhà dự kiến",IF(B57&lt;'1_PHIEU_TU_VAN'!$K$10,"Sau 46 tháng","Sau nhận nhà "&amp;TEXT(COUNTIF($B$10:B57,"&gt;"&amp;'1_PHIEU_TU_VAN'!$K$10),"00")&amp;" tháng"))))</f>
        <v>Sau nhận nhà 38 tháng</v>
      </c>
      <c r="D57" s="72">
        <f>IF(B57="","",IF(B57='1_PHIEU_TU_VAN'!$K$10,MAX(0,'8_THAM_SO'!$C$4-N($G56)),IF(B57&lt;'1_PHIEU_TU_VAN'!$K$10,0.5%,IF(N($G56)&gt;=95%,0,MIN(IF(COUNTIF($B$10:B57,"&gt;"&amp;'1_PHIEU_TU_VAN'!$K$10)&lt;=12,1.5%,2%),95%-N($G56))))))</f>
        <v>1.9999999999999352E-2</v>
      </c>
      <c r="E57" s="75">
        <f t="shared" ref="E57" si="6">IF(D57="","",$G$5*D57)</f>
        <v>189925999.99999383</v>
      </c>
      <c r="F57" s="75">
        <f t="shared" ref="F57" si="7">IF(G57="","",$G$5*G57)</f>
        <v>9021485000</v>
      </c>
      <c r="G57" s="72">
        <f t="shared" si="4"/>
        <v>0.95</v>
      </c>
      <c r="H57" s="73" t="str">
        <f>IF(B57="","",IF(B57='1_PHIEU_TU_VAN'!$K$9,"Đã bao gồm 100 triệu đặt cọc",IF(B57='1_PHIEU_TU_VAN'!$K$10,"Mốc nhận nhà dự kiến","")))</f>
        <v/>
      </c>
    </row>
    <row r="58" spans="1:8">
      <c r="A58" s="71" t="str">
        <f>"Đợt "&amp;(COUNT($B$10:$B$56)+1)</f>
        <v>Đợt 48</v>
      </c>
      <c r="B58" s="74"/>
      <c r="C58" s="71" t="s">
        <v>59</v>
      </c>
      <c r="D58" s="72">
        <v>0.05</v>
      </c>
      <c r="E58" s="75">
        <f>$G$5*D58</f>
        <v>474815000</v>
      </c>
      <c r="F58" s="75">
        <f>$G$5*G58</f>
        <v>9496300000</v>
      </c>
      <c r="G58" s="72">
        <f t="shared" si="4"/>
        <v>1</v>
      </c>
      <c r="H58" s="73"/>
    </row>
    <row r="59" spans="1:8" ht="14.5">
      <c r="A59" s="2" t="s">
        <v>60</v>
      </c>
      <c r="B59" s="2"/>
      <c r="C59" s="2"/>
      <c r="D59" s="13">
        <f>SUM($D$10:$D$58)</f>
        <v>1</v>
      </c>
      <c r="E59" s="78">
        <f>SUM($E$10:$E$58)</f>
        <v>9496299999.9999943</v>
      </c>
      <c r="F59" s="78"/>
      <c r="G59" s="13"/>
      <c r="H59" s="2" t="s">
        <v>66</v>
      </c>
    </row>
    <row r="60" spans="1:8">
      <c r="E60" s="51"/>
      <c r="F60" s="51"/>
    </row>
    <row r="61" spans="1:8">
      <c r="E61" s="51"/>
      <c r="F61" s="51"/>
    </row>
    <row r="62" spans="1:8">
      <c r="E62" s="51"/>
      <c r="F62" s="51"/>
    </row>
    <row r="63" spans="1:8">
      <c r="E63" s="51"/>
      <c r="F63" s="51"/>
    </row>
    <row r="64" spans="1:8">
      <c r="E64" s="51"/>
      <c r="F64" s="51"/>
    </row>
    <row r="65" spans="5:6">
      <c r="E65" s="51"/>
      <c r="F65" s="51"/>
    </row>
    <row r="66" spans="5:6">
      <c r="E66" s="51"/>
      <c r="F66" s="51"/>
    </row>
    <row r="67" spans="5:6">
      <c r="E67" s="51"/>
      <c r="F67" s="51"/>
    </row>
    <row r="68" spans="5:6">
      <c r="E68" s="51"/>
      <c r="F68" s="51"/>
    </row>
    <row r="69" spans="5:6">
      <c r="E69" s="51"/>
      <c r="F69" s="51"/>
    </row>
    <row r="70" spans="5:6">
      <c r="E70" s="51"/>
      <c r="F70" s="51"/>
    </row>
    <row r="71" spans="5:6">
      <c r="E71" s="51"/>
      <c r="F71" s="51"/>
    </row>
    <row r="72" spans="5:6">
      <c r="E72" s="51"/>
      <c r="F72" s="51"/>
    </row>
    <row r="73" spans="5:6">
      <c r="E73" s="51"/>
      <c r="F73" s="51"/>
    </row>
    <row r="74" spans="5:6">
      <c r="E74" s="51"/>
      <c r="F74" s="51"/>
    </row>
    <row r="75" spans="5:6">
      <c r="E75" s="51"/>
      <c r="F75" s="51"/>
    </row>
    <row r="76" spans="5:6">
      <c r="E76" s="51"/>
      <c r="F76" s="51"/>
    </row>
    <row r="77" spans="5:6">
      <c r="E77" s="51"/>
      <c r="F77" s="51"/>
    </row>
    <row r="78" spans="5:6">
      <c r="E78" s="51"/>
      <c r="F78" s="51"/>
    </row>
    <row r="79" spans="5:6">
      <c r="E79" s="51"/>
      <c r="F79" s="51"/>
    </row>
    <row r="80" spans="5:6">
      <c r="E80" s="51"/>
      <c r="F80" s="51"/>
    </row>
    <row r="81" spans="5:6">
      <c r="E81" s="51"/>
      <c r="F81" s="51"/>
    </row>
    <row r="82" spans="5:6">
      <c r="E82" s="51"/>
      <c r="F82" s="51"/>
    </row>
    <row r="83" spans="5:6">
      <c r="E83" s="51"/>
      <c r="F83" s="51"/>
    </row>
    <row r="84" spans="5:6">
      <c r="E84" s="51"/>
      <c r="F84" s="51"/>
    </row>
    <row r="85" spans="5:6">
      <c r="E85" s="51"/>
      <c r="F85" s="51"/>
    </row>
    <row r="86" spans="5:6">
      <c r="E86" s="51"/>
      <c r="F86" s="51"/>
    </row>
    <row r="87" spans="5:6">
      <c r="E87" s="51"/>
      <c r="F87" s="51"/>
    </row>
    <row r="88" spans="5:6">
      <c r="E88" s="51"/>
      <c r="F88" s="51"/>
    </row>
    <row r="89" spans="5:6">
      <c r="E89" s="51"/>
      <c r="F89" s="51"/>
    </row>
    <row r="90" spans="5:6">
      <c r="E90" s="51"/>
      <c r="F90" s="51"/>
    </row>
    <row r="91" spans="5:6">
      <c r="E91" s="51"/>
      <c r="F91" s="51"/>
    </row>
    <row r="92" spans="5:6">
      <c r="E92" s="51"/>
      <c r="F92" s="51"/>
    </row>
    <row r="93" spans="5:6">
      <c r="E93" s="51"/>
      <c r="F93" s="51"/>
    </row>
    <row r="94" spans="5:6">
      <c r="E94" s="51"/>
      <c r="F94" s="51"/>
    </row>
    <row r="95" spans="5:6">
      <c r="E95" s="51"/>
      <c r="F95" s="51"/>
    </row>
    <row r="96" spans="5:6">
      <c r="E96" s="51"/>
      <c r="F96" s="51"/>
    </row>
    <row r="97" spans="5:6">
      <c r="E97" s="51"/>
      <c r="F97" s="51"/>
    </row>
    <row r="98" spans="5:6">
      <c r="E98" s="51"/>
      <c r="F98" s="51"/>
    </row>
    <row r="99" spans="5:6">
      <c r="E99" s="51"/>
      <c r="F99" s="51"/>
    </row>
    <row r="100" spans="5:6">
      <c r="E100" s="51"/>
      <c r="F100" s="51"/>
    </row>
    <row r="101" spans="5:6">
      <c r="E101" s="51"/>
      <c r="F101" s="51"/>
    </row>
    <row r="102" spans="5:6">
      <c r="E102" s="51"/>
      <c r="F102" s="51"/>
    </row>
    <row r="103" spans="5:6">
      <c r="E103" s="51"/>
      <c r="F103" s="51"/>
    </row>
    <row r="104" spans="5:6">
      <c r="E104" s="51"/>
      <c r="F104" s="51"/>
    </row>
    <row r="105" spans="5:6">
      <c r="E105" s="51"/>
      <c r="F105" s="51"/>
    </row>
    <row r="106" spans="5:6">
      <c r="E106" s="51"/>
      <c r="F106" s="51"/>
    </row>
    <row r="107" spans="5:6">
      <c r="E107" s="51"/>
      <c r="F107" s="51"/>
    </row>
    <row r="108" spans="5:6">
      <c r="E108" s="51"/>
      <c r="F108" s="51"/>
    </row>
    <row r="109" spans="5:6">
      <c r="E109" s="51"/>
      <c r="F109" s="51"/>
    </row>
    <row r="110" spans="5:6">
      <c r="E110" s="51"/>
      <c r="F110" s="51"/>
    </row>
    <row r="111" spans="5:6">
      <c r="E111" s="51"/>
      <c r="F111" s="51"/>
    </row>
    <row r="112" spans="5:6">
      <c r="E112" s="51"/>
      <c r="F112" s="51"/>
    </row>
    <row r="113" spans="5:6">
      <c r="E113" s="51"/>
      <c r="F113" s="51"/>
    </row>
    <row r="114" spans="5:6">
      <c r="E114" s="51"/>
      <c r="F114" s="51"/>
    </row>
    <row r="115" spans="5:6">
      <c r="E115" s="51"/>
      <c r="F115" s="51"/>
    </row>
    <row r="116" spans="5:6">
      <c r="E116" s="51"/>
      <c r="F116" s="51"/>
    </row>
    <row r="117" spans="5:6">
      <c r="E117" s="51"/>
      <c r="F117" s="51"/>
    </row>
    <row r="118" spans="5:6">
      <c r="E118" s="51"/>
      <c r="F118" s="51"/>
    </row>
    <row r="119" spans="5:6">
      <c r="E119" s="51"/>
      <c r="F119" s="51"/>
    </row>
    <row r="120" spans="5:6">
      <c r="E120" s="51"/>
      <c r="F120" s="51"/>
    </row>
    <row r="121" spans="5:6">
      <c r="E121" s="51"/>
      <c r="F121" s="51"/>
    </row>
    <row r="122" spans="5:6">
      <c r="E122" s="51"/>
      <c r="F122" s="51"/>
    </row>
    <row r="123" spans="5:6">
      <c r="E123" s="51"/>
      <c r="F123" s="51"/>
    </row>
    <row r="124" spans="5:6">
      <c r="E124" s="51"/>
      <c r="F124" s="51"/>
    </row>
    <row r="125" spans="5:6">
      <c r="E125" s="51"/>
      <c r="F125" s="51"/>
    </row>
    <row r="126" spans="5:6">
      <c r="E126" s="51"/>
      <c r="F126" s="51"/>
    </row>
    <row r="127" spans="5:6">
      <c r="E127" s="51"/>
      <c r="F127" s="51"/>
    </row>
    <row r="128" spans="5:6">
      <c r="E128" s="51"/>
      <c r="F128" s="51"/>
    </row>
    <row r="129" spans="5:6">
      <c r="E129" s="51"/>
      <c r="F129" s="51"/>
    </row>
    <row r="130" spans="5:6">
      <c r="E130" s="51"/>
      <c r="F130" s="51"/>
    </row>
    <row r="131" spans="5:6">
      <c r="E131" s="51"/>
      <c r="F131" s="51"/>
    </row>
    <row r="132" spans="5:6">
      <c r="E132" s="51"/>
      <c r="F132" s="51"/>
    </row>
    <row r="133" spans="5:6">
      <c r="E133" s="51"/>
      <c r="F133" s="51"/>
    </row>
    <row r="134" spans="5:6">
      <c r="E134" s="51"/>
      <c r="F134" s="51"/>
    </row>
    <row r="135" spans="5:6">
      <c r="E135" s="51"/>
      <c r="F135" s="51"/>
    </row>
    <row r="136" spans="5:6">
      <c r="E136" s="51"/>
      <c r="F136" s="51"/>
    </row>
    <row r="137" spans="5:6">
      <c r="E137" s="51"/>
      <c r="F137" s="51"/>
    </row>
    <row r="138" spans="5:6">
      <c r="E138" s="51"/>
      <c r="F138" s="51"/>
    </row>
    <row r="139" spans="5:6">
      <c r="E139" s="51"/>
      <c r="F139" s="51"/>
    </row>
    <row r="140" spans="5:6">
      <c r="E140" s="51"/>
      <c r="F140" s="51"/>
    </row>
    <row r="141" spans="5:6">
      <c r="E141" s="51"/>
      <c r="F141" s="51"/>
    </row>
    <row r="142" spans="5:6">
      <c r="E142" s="51"/>
      <c r="F142" s="51"/>
    </row>
    <row r="143" spans="5:6">
      <c r="E143" s="51"/>
      <c r="F143" s="51"/>
    </row>
    <row r="144" spans="5:6">
      <c r="E144" s="51"/>
      <c r="F144" s="51"/>
    </row>
    <row r="145" spans="5:6">
      <c r="E145" s="51"/>
      <c r="F145" s="51"/>
    </row>
    <row r="146" spans="5:6">
      <c r="E146" s="51"/>
      <c r="F146" s="51"/>
    </row>
    <row r="147" spans="5:6">
      <c r="E147" s="51"/>
      <c r="F147" s="51"/>
    </row>
    <row r="148" spans="5:6">
      <c r="E148" s="51"/>
      <c r="F148" s="51"/>
    </row>
    <row r="149" spans="5:6">
      <c r="E149" s="51"/>
      <c r="F149" s="51"/>
    </row>
    <row r="150" spans="5:6">
      <c r="E150" s="51"/>
      <c r="F150" s="51"/>
    </row>
    <row r="151" spans="5:6">
      <c r="E151" s="51"/>
      <c r="F151" s="51"/>
    </row>
    <row r="152" spans="5:6">
      <c r="E152" s="51"/>
      <c r="F152" s="51"/>
    </row>
    <row r="153" spans="5:6">
      <c r="E153" s="51"/>
      <c r="F153" s="51"/>
    </row>
    <row r="154" spans="5:6">
      <c r="E154" s="51"/>
      <c r="F154" s="51"/>
    </row>
    <row r="155" spans="5:6">
      <c r="E155" s="51"/>
      <c r="F155" s="51"/>
    </row>
    <row r="156" spans="5:6">
      <c r="E156" s="51"/>
      <c r="F156" s="51"/>
    </row>
    <row r="157" spans="5:6">
      <c r="E157" s="51"/>
      <c r="F157" s="51"/>
    </row>
    <row r="158" spans="5:6">
      <c r="E158" s="51"/>
      <c r="F158" s="51"/>
    </row>
    <row r="159" spans="5:6">
      <c r="E159" s="51"/>
      <c r="F159" s="51"/>
    </row>
    <row r="160" spans="5:6">
      <c r="E160" s="51"/>
      <c r="F160" s="51"/>
    </row>
    <row r="161" spans="5:6">
      <c r="E161" s="51"/>
      <c r="F161" s="51"/>
    </row>
    <row r="162" spans="5:6">
      <c r="E162" s="51"/>
      <c r="F162" s="51"/>
    </row>
    <row r="163" spans="5:6">
      <c r="E163" s="51"/>
      <c r="F163" s="51"/>
    </row>
    <row r="164" spans="5:6">
      <c r="E164" s="51"/>
      <c r="F164" s="51"/>
    </row>
    <row r="165" spans="5:6">
      <c r="E165" s="51"/>
      <c r="F165" s="51"/>
    </row>
    <row r="166" spans="5:6">
      <c r="E166" s="51"/>
      <c r="F166" s="51"/>
    </row>
    <row r="167" spans="5:6">
      <c r="E167" s="51"/>
      <c r="F167" s="51"/>
    </row>
    <row r="168" spans="5:6">
      <c r="E168" s="51"/>
      <c r="F168" s="51"/>
    </row>
    <row r="169" spans="5:6">
      <c r="E169" s="51"/>
      <c r="F169" s="51"/>
    </row>
    <row r="170" spans="5:6">
      <c r="E170" s="51"/>
      <c r="F170" s="51"/>
    </row>
    <row r="171" spans="5:6">
      <c r="E171" s="51"/>
      <c r="F171" s="51"/>
    </row>
    <row r="172" spans="5:6">
      <c r="E172" s="51"/>
      <c r="F172" s="51"/>
    </row>
    <row r="173" spans="5:6">
      <c r="E173" s="51"/>
      <c r="F173" s="51"/>
    </row>
    <row r="174" spans="5:6">
      <c r="E174" s="51"/>
      <c r="F174" s="51"/>
    </row>
    <row r="175" spans="5:6">
      <c r="E175" s="51"/>
      <c r="F175" s="51"/>
    </row>
    <row r="176" spans="5:6">
      <c r="E176" s="51"/>
      <c r="F176" s="51"/>
    </row>
    <row r="177" spans="5:6">
      <c r="E177" s="51"/>
      <c r="F177" s="51"/>
    </row>
    <row r="178" spans="5:6">
      <c r="E178" s="51"/>
      <c r="F178" s="51"/>
    </row>
    <row r="179" spans="5:6">
      <c r="E179" s="51"/>
      <c r="F179" s="51"/>
    </row>
    <row r="180" spans="5:6">
      <c r="E180" s="51"/>
      <c r="F180" s="51"/>
    </row>
    <row r="181" spans="5:6">
      <c r="E181" s="51"/>
      <c r="F181" s="51"/>
    </row>
    <row r="182" spans="5:6">
      <c r="E182" s="51"/>
      <c r="F182" s="51"/>
    </row>
    <row r="183" spans="5:6">
      <c r="E183" s="51"/>
      <c r="F183" s="51"/>
    </row>
    <row r="184" spans="5:6">
      <c r="E184" s="51"/>
      <c r="F184" s="51"/>
    </row>
    <row r="185" spans="5:6">
      <c r="E185" s="51"/>
      <c r="F185" s="51"/>
    </row>
    <row r="186" spans="5:6">
      <c r="E186" s="51"/>
      <c r="F186" s="51"/>
    </row>
    <row r="187" spans="5:6">
      <c r="E187" s="51"/>
      <c r="F187" s="51"/>
    </row>
    <row r="188" spans="5:6">
      <c r="E188" s="51"/>
      <c r="F188" s="51"/>
    </row>
    <row r="189" spans="5:6">
      <c r="E189" s="51"/>
      <c r="F189" s="51"/>
    </row>
    <row r="190" spans="5:6">
      <c r="E190" s="51"/>
      <c r="F190" s="51"/>
    </row>
    <row r="191" spans="5:6">
      <c r="E191" s="51"/>
      <c r="F191" s="51"/>
    </row>
    <row r="192" spans="5:6">
      <c r="E192" s="51"/>
      <c r="F192" s="51"/>
    </row>
    <row r="193" spans="5:6">
      <c r="E193" s="51"/>
      <c r="F193" s="51"/>
    </row>
    <row r="194" spans="5:6">
      <c r="E194" s="51"/>
      <c r="F194" s="51"/>
    </row>
    <row r="195" spans="5:6">
      <c r="E195" s="51"/>
      <c r="F195" s="51"/>
    </row>
    <row r="196" spans="5:6">
      <c r="E196" s="51"/>
      <c r="F196" s="51"/>
    </row>
    <row r="197" spans="5:6">
      <c r="E197" s="51"/>
      <c r="F197" s="51"/>
    </row>
    <row r="198" spans="5:6">
      <c r="E198" s="51"/>
      <c r="F198" s="51"/>
    </row>
    <row r="199" spans="5:6">
      <c r="E199" s="51"/>
      <c r="F199" s="51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015A0ED-97AB-4562-8F84-940D953AC0DE}">
            <xm:f>$B11='1_PHIEU_TU_VAN'!$K$10</xm:f>
            <x14:dxf>
              <font>
                <b/>
                <i val="0"/>
              </font>
              <fill>
                <patternFill>
                  <bgColor rgb="FFE3E8D4"/>
                </patternFill>
              </fill>
            </x14:dxf>
          </x14:cfRule>
          <xm:sqref>A11:H58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D24" sqref="D24"/>
    </sheetView>
  </sheetViews>
  <sheetFormatPr defaultRowHeight="14"/>
  <cols>
    <col min="1" max="1" width="24" customWidth="1"/>
    <col min="2" max="2" width="14" customWidth="1"/>
    <col min="3" max="4" width="20" customWidth="1"/>
    <col min="5" max="5" width="14" customWidth="1"/>
    <col min="6" max="6" width="34" customWidth="1"/>
  </cols>
  <sheetData>
    <row r="1" spans="1:6" ht="18.5">
      <c r="A1" s="1" t="s">
        <v>71</v>
      </c>
      <c r="B1" s="1"/>
      <c r="C1" s="1"/>
      <c r="D1" s="1"/>
      <c r="E1" s="1"/>
      <c r="F1" s="1"/>
    </row>
    <row r="3" spans="1:6" ht="14.5">
      <c r="A3" s="3" t="s">
        <v>19</v>
      </c>
      <c r="B3" s="3" t="s">
        <v>26</v>
      </c>
      <c r="C3" s="3" t="s">
        <v>72</v>
      </c>
      <c r="D3" s="3" t="s">
        <v>73</v>
      </c>
      <c r="E3" s="3" t="s">
        <v>74</v>
      </c>
      <c r="F3" s="3" t="s">
        <v>33</v>
      </c>
    </row>
    <row r="4" spans="1:6">
      <c r="A4" s="4" t="s">
        <v>12</v>
      </c>
      <c r="B4" s="5">
        <v>0</v>
      </c>
      <c r="C4" s="5">
        <v>0.25</v>
      </c>
      <c r="D4" s="5">
        <v>0.7</v>
      </c>
      <c r="E4" s="5">
        <v>0.05</v>
      </c>
      <c r="F4" s="4" t="s">
        <v>75</v>
      </c>
    </row>
    <row r="5" spans="1:6">
      <c r="A5" s="4" t="s">
        <v>76</v>
      </c>
      <c r="B5" s="5">
        <v>0.01</v>
      </c>
      <c r="C5" s="5">
        <v>0.3</v>
      </c>
      <c r="D5" s="5">
        <v>0.65</v>
      </c>
      <c r="E5" s="5">
        <v>0.05</v>
      </c>
      <c r="F5" s="4" t="s">
        <v>77</v>
      </c>
    </row>
    <row r="6" spans="1:6">
      <c r="A6" s="4" t="s">
        <v>78</v>
      </c>
      <c r="B6" s="5">
        <v>0.02</v>
      </c>
      <c r="C6" s="5">
        <v>0.5</v>
      </c>
      <c r="D6" s="5">
        <v>0.45</v>
      </c>
      <c r="E6" s="5">
        <v>0.05</v>
      </c>
      <c r="F6" s="4" t="s">
        <v>79</v>
      </c>
    </row>
    <row r="7" spans="1:6">
      <c r="A7" s="4" t="s">
        <v>80</v>
      </c>
      <c r="B7" s="5">
        <v>0.05</v>
      </c>
      <c r="C7" s="5">
        <f>95%</f>
        <v>0.95</v>
      </c>
      <c r="D7" s="5">
        <f>0%</f>
        <v>0</v>
      </c>
      <c r="E7" s="5">
        <v>0.05</v>
      </c>
      <c r="F7" s="4" t="s">
        <v>81</v>
      </c>
    </row>
    <row r="8" spans="1:6">
      <c r="A8" s="4" t="s">
        <v>82</v>
      </c>
      <c r="B8" s="5">
        <v>0.06</v>
      </c>
      <c r="C8" s="5">
        <v>0.95</v>
      </c>
      <c r="D8" s="5">
        <v>0</v>
      </c>
      <c r="E8" s="5">
        <v>0.05</v>
      </c>
      <c r="F8" s="4" t="s">
        <v>83</v>
      </c>
    </row>
    <row r="9" spans="1:6">
      <c r="A9" s="4" t="s">
        <v>84</v>
      </c>
      <c r="B9" s="5">
        <v>0</v>
      </c>
      <c r="C9" s="5">
        <v>0.95</v>
      </c>
      <c r="D9" s="5">
        <v>0</v>
      </c>
      <c r="E9" s="5">
        <v>0.05</v>
      </c>
      <c r="F9" s="4" t="s">
        <v>85</v>
      </c>
    </row>
    <row r="12" spans="1:6" ht="14.5">
      <c r="A12" s="6" t="s">
        <v>86</v>
      </c>
      <c r="B12" s="6" t="s">
        <v>87</v>
      </c>
      <c r="D12" s="6" t="s">
        <v>88</v>
      </c>
      <c r="E12" s="6" t="s">
        <v>87</v>
      </c>
      <c r="F12" s="6" t="s">
        <v>89</v>
      </c>
    </row>
    <row r="13" spans="1:6">
      <c r="A13" s="4" t="s">
        <v>90</v>
      </c>
      <c r="B13" s="7">
        <v>100000000</v>
      </c>
      <c r="D13" s="4" t="s">
        <v>91</v>
      </c>
      <c r="E13" s="5">
        <v>0.3</v>
      </c>
      <c r="F13" s="4" t="s">
        <v>92</v>
      </c>
    </row>
    <row r="14" spans="1:6">
      <c r="A14" s="4" t="s">
        <v>93</v>
      </c>
      <c r="B14" s="5">
        <v>0.1</v>
      </c>
      <c r="D14" s="4" t="s">
        <v>94</v>
      </c>
      <c r="E14" s="5">
        <v>0.7</v>
      </c>
      <c r="F14" s="4" t="s">
        <v>92</v>
      </c>
    </row>
    <row r="15" spans="1:6">
      <c r="A15" s="4" t="s">
        <v>32</v>
      </c>
      <c r="B15" s="5">
        <v>0.02</v>
      </c>
      <c r="D15" s="4" t="s">
        <v>95</v>
      </c>
      <c r="E15" s="4">
        <v>18</v>
      </c>
      <c r="F15" s="4" t="s">
        <v>96</v>
      </c>
    </row>
    <row r="16" spans="1:6">
      <c r="A16" s="4" t="s">
        <v>97</v>
      </c>
      <c r="B16" s="5">
        <v>0.03</v>
      </c>
      <c r="D16" s="4" t="s">
        <v>98</v>
      </c>
      <c r="E16" s="4">
        <v>36</v>
      </c>
      <c r="F16" s="4" t="s">
        <v>96</v>
      </c>
    </row>
    <row r="17" spans="1:6">
      <c r="A17" s="4" t="s">
        <v>99</v>
      </c>
      <c r="B17" s="5">
        <v>5.0000000000000001E-3</v>
      </c>
      <c r="D17" s="4" t="s">
        <v>100</v>
      </c>
      <c r="E17" s="67">
        <f>'1_PHIEU_TU_VAN'!$K$10</f>
        <v>46568</v>
      </c>
      <c r="F17" s="4" t="s">
        <v>101</v>
      </c>
    </row>
    <row r="18" spans="1:6">
      <c r="A18" s="4" t="s">
        <v>102</v>
      </c>
      <c r="B18" s="5">
        <v>0.01</v>
      </c>
    </row>
    <row r="19" spans="1:6">
      <c r="A19" s="4" t="s">
        <v>103</v>
      </c>
      <c r="B19" s="5">
        <v>1.4999999999999999E-2</v>
      </c>
    </row>
    <row r="22" spans="1:6" ht="14.5">
      <c r="A22" s="8" t="s">
        <v>104</v>
      </c>
      <c r="B22" s="8"/>
      <c r="C22" s="8"/>
      <c r="D22" s="8"/>
      <c r="E22" s="8"/>
      <c r="F22" s="8"/>
    </row>
    <row r="23" spans="1:6" ht="14.5">
      <c r="A23" s="47" t="s">
        <v>105</v>
      </c>
      <c r="B23" s="9"/>
      <c r="C23" s="9"/>
      <c r="D23" s="9"/>
      <c r="E23" s="9"/>
      <c r="F23" s="9"/>
    </row>
    <row r="24" spans="1:6" ht="14.5">
      <c r="A24" s="47" t="s">
        <v>106</v>
      </c>
      <c r="B24" s="9"/>
      <c r="C24" s="9"/>
      <c r="D24" s="9"/>
      <c r="E24" s="9"/>
      <c r="F24" s="9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1_PHIEU_TU_VAN</vt:lpstr>
      <vt:lpstr>2_VAY_NH</vt:lpstr>
      <vt:lpstr>3_NHANH_70</vt:lpstr>
      <vt:lpstr>4_NHANH_50</vt:lpstr>
      <vt:lpstr>5_CHUAN_24T</vt:lpstr>
      <vt:lpstr>6_36_THANG</vt:lpstr>
      <vt:lpstr>7_48_THANG</vt:lpstr>
      <vt:lpstr>8_THAM_SO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2026-09-10T07:05:34Z</dcterms:created>
  <dcterms:modified xsi:type="dcterms:W3CDTF">2026-09-11T14:49:09Z</dcterms:modified>
</cp:coreProperties>
</file>